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johnson\Desktop\"/>
    </mc:Choice>
  </mc:AlternateContent>
  <bookViews>
    <workbookView xWindow="0" yWindow="0" windowWidth="16455" windowHeight="4920"/>
  </bookViews>
  <sheets>
    <sheet name="FY 20 UNMHS Presentation" sheetId="69" r:id="rId1"/>
    <sheet name="HS Combined MedePM Plan" sheetId="91" r:id="rId2"/>
    <sheet name="Dept Combined LEM" sheetId="93" r:id="rId3"/>
    <sheet name="Growth Metric by Entity_Dept" sheetId="64" r:id="rId4"/>
    <sheet name="Growth by Clinic Detail" sheetId="65" r:id="rId5"/>
    <sheet name="Growth wRVU's" sheetId="68" r:id="rId6"/>
    <sheet name="UH Surgery" sheetId="95" r:id="rId7"/>
    <sheet name="SRMC Surgery" sheetId="94" r:id="rId8"/>
    <sheet name="Qual_Saf Metric by Entity_Dept" sheetId="66" r:id="rId9"/>
    <sheet name="Service Metric by Entity_Dept" sheetId="67" r:id="rId10"/>
    <sheet name="People Metric by Entity_Dept" sheetId="72" state="hidden" r:id="rId11"/>
    <sheet name="Finance Metric by Entity_Dept" sheetId="70" r:id="rId12"/>
    <sheet name="Academic Metrics" sheetId="96" r:id="rId13"/>
    <sheet name="Anesthesiology" sheetId="74" r:id="rId14"/>
    <sheet name=" Dental Medicine" sheetId="75" r:id="rId15"/>
    <sheet name="Dermatology" sheetId="76" r:id="rId16"/>
    <sheet name="Emergency Medicine" sheetId="77" r:id="rId17"/>
    <sheet name="Familty &amp; Comm Medicine" sheetId="78" r:id="rId18"/>
    <sheet name="Internal Medicine" sheetId="79" r:id="rId19"/>
    <sheet name="Neurology" sheetId="80" r:id="rId20"/>
    <sheet name="Neurosurgery" sheetId="81" r:id="rId21"/>
    <sheet name="Ob_Gyn" sheetId="82" r:id="rId22"/>
    <sheet name="Orthopaedics" sheetId="83" r:id="rId23"/>
    <sheet name="Pathology" sheetId="84" r:id="rId24"/>
    <sheet name="Pediatrics" sheetId="85" r:id="rId25"/>
    <sheet name="Psychiatry" sheetId="86" r:id="rId26"/>
    <sheet name="Radiology" sheetId="87" r:id="rId27"/>
    <sheet name="Surgery" sheetId="88" r:id="rId28"/>
    <sheet name="Cancer Center" sheetId="89" r:id="rId29"/>
    <sheet name="Chair_Dept Service Roll up" sheetId="90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12">#REF!</definedName>
    <definedName name="\0" localSheetId="2">#REF!</definedName>
    <definedName name="\0" localSheetId="11">#REF!</definedName>
    <definedName name="\0" localSheetId="0">#REF!</definedName>
    <definedName name="\0" localSheetId="10">#REF!</definedName>
    <definedName name="\0">#REF!</definedName>
    <definedName name="\a" localSheetId="12">#REF!</definedName>
    <definedName name="\a" localSheetId="2">#REF!</definedName>
    <definedName name="\a" localSheetId="11">#REF!</definedName>
    <definedName name="\a" localSheetId="0">#REF!</definedName>
    <definedName name="\a" localSheetId="10">#REF!</definedName>
    <definedName name="\a">#REF!</definedName>
    <definedName name="\b" localSheetId="12">#REF!</definedName>
    <definedName name="\b" localSheetId="2">#REF!</definedName>
    <definedName name="\b" localSheetId="11">#REF!</definedName>
    <definedName name="\b" localSheetId="0">#REF!</definedName>
    <definedName name="\b" localSheetId="10">#REF!</definedName>
    <definedName name="\b">#REF!</definedName>
    <definedName name="\d" localSheetId="12">#REF!</definedName>
    <definedName name="\d" localSheetId="2">#REF!</definedName>
    <definedName name="\d" localSheetId="11">#REF!</definedName>
    <definedName name="\d" localSheetId="0">#REF!</definedName>
    <definedName name="\d" localSheetId="10">#REF!</definedName>
    <definedName name="\d">#REF!</definedName>
    <definedName name="\e">#N/A</definedName>
    <definedName name="\h" localSheetId="12">#REF!</definedName>
    <definedName name="\h" localSheetId="2">#REF!</definedName>
    <definedName name="\h" localSheetId="11">#REF!</definedName>
    <definedName name="\h" localSheetId="0">#REF!</definedName>
    <definedName name="\h" localSheetId="10">#REF!</definedName>
    <definedName name="\h">#REF!</definedName>
    <definedName name="\o" localSheetId="12">#REF!</definedName>
    <definedName name="\o" localSheetId="2">#REF!</definedName>
    <definedName name="\o" localSheetId="11">#REF!</definedName>
    <definedName name="\o" localSheetId="0">#REF!</definedName>
    <definedName name="\o" localSheetId="10">#REF!</definedName>
    <definedName name="\o">#REF!</definedName>
    <definedName name="\s">#N/A</definedName>
    <definedName name="\t" localSheetId="12">#REF!</definedName>
    <definedName name="\t" localSheetId="2">#REF!</definedName>
    <definedName name="\t" localSheetId="11">#REF!</definedName>
    <definedName name="\t" localSheetId="0">#REF!</definedName>
    <definedName name="\t" localSheetId="10">#REF!</definedName>
    <definedName name="\t">#REF!</definedName>
    <definedName name="\x">#N/A</definedName>
    <definedName name="\y" localSheetId="12">#REF!</definedName>
    <definedName name="\y" localSheetId="2">#REF!</definedName>
    <definedName name="\y" localSheetId="11">#REF!</definedName>
    <definedName name="\y" localSheetId="0">#REF!</definedName>
    <definedName name="\y" localSheetId="10">#REF!</definedName>
    <definedName name="\y">#REF!</definedName>
    <definedName name="__apr2" localSheetId="12">#REF!</definedName>
    <definedName name="__apr2" localSheetId="2">#REF!</definedName>
    <definedName name="__apr2" localSheetId="11">#REF!</definedName>
    <definedName name="__apr2" localSheetId="0">#REF!</definedName>
    <definedName name="__apr2" localSheetId="10">#REF!</definedName>
    <definedName name="__apr2">#REF!</definedName>
    <definedName name="__aug10">[1]CURRENT!$D:$N</definedName>
    <definedName name="__aug2" localSheetId="12">#REF!</definedName>
    <definedName name="__aug2" localSheetId="2">#REF!</definedName>
    <definedName name="__aug2" localSheetId="11">#REF!</definedName>
    <definedName name="__aug2" localSheetId="0">#REF!</definedName>
    <definedName name="__aug2" localSheetId="10">#REF!</definedName>
    <definedName name="__aug2">#REF!</definedName>
    <definedName name="__aug9">[1]PRIOR!$D:$N</definedName>
    <definedName name="__dec2" localSheetId="12">#REF!</definedName>
    <definedName name="__dec2" localSheetId="2">#REF!</definedName>
    <definedName name="__dec2" localSheetId="11">#REF!</definedName>
    <definedName name="__dec2" localSheetId="0">#REF!</definedName>
    <definedName name="__dec2" localSheetId="10">#REF!</definedName>
    <definedName name="__dec2">#REF!</definedName>
    <definedName name="__feb2" localSheetId="12">#REF!</definedName>
    <definedName name="__feb2" localSheetId="2">#REF!</definedName>
    <definedName name="__feb2" localSheetId="11">#REF!</definedName>
    <definedName name="__feb2" localSheetId="0">#REF!</definedName>
    <definedName name="__feb2" localSheetId="10">#REF!</definedName>
    <definedName name="__feb2">#REF!</definedName>
    <definedName name="__jan2" localSheetId="12">#REF!</definedName>
    <definedName name="__jan2" localSheetId="2">#REF!</definedName>
    <definedName name="__jan2" localSheetId="11">#REF!</definedName>
    <definedName name="__jan2" localSheetId="0">#REF!</definedName>
    <definedName name="__jan2" localSheetId="10">#REF!</definedName>
    <definedName name="__jan2">#REF!</definedName>
    <definedName name="__jul2" localSheetId="12">#REF!</definedName>
    <definedName name="__jul2" localSheetId="2">#REF!</definedName>
    <definedName name="__jul2" localSheetId="11">#REF!</definedName>
    <definedName name="__jul2" localSheetId="0">#REF!</definedName>
    <definedName name="__jul2" localSheetId="10">#REF!</definedName>
    <definedName name="__jul2">#REF!</definedName>
    <definedName name="__jun2" localSheetId="12">#REF!</definedName>
    <definedName name="__jun2" localSheetId="2">#REF!</definedName>
    <definedName name="__jun2" localSheetId="11">#REF!</definedName>
    <definedName name="__jun2" localSheetId="0">#REF!</definedName>
    <definedName name="__jun2" localSheetId="10">#REF!</definedName>
    <definedName name="__jun2">#REF!</definedName>
    <definedName name="__mar2" localSheetId="12">#REF!</definedName>
    <definedName name="__mar2" localSheetId="2">#REF!</definedName>
    <definedName name="__mar2" localSheetId="11">#REF!</definedName>
    <definedName name="__mar2" localSheetId="0">#REF!</definedName>
    <definedName name="__mar2" localSheetId="10">#REF!</definedName>
    <definedName name="__mar2">#REF!</definedName>
    <definedName name="__may2" localSheetId="12">#REF!</definedName>
    <definedName name="__may2" localSheetId="2">#REF!</definedName>
    <definedName name="__may2" localSheetId="11">#REF!</definedName>
    <definedName name="__may2" localSheetId="0">#REF!</definedName>
    <definedName name="__may2" localSheetId="10">#REF!</definedName>
    <definedName name="__may2">#REF!</definedName>
    <definedName name="__mhc1">[2]input_rev3_sort!$J$16,[2]input_rev3_sort!$L$1:$L$65536</definedName>
    <definedName name="__nov2" localSheetId="12">#REF!</definedName>
    <definedName name="__nov2" localSheetId="2">#REF!</definedName>
    <definedName name="__nov2" localSheetId="11">#REF!</definedName>
    <definedName name="__nov2" localSheetId="0">#REF!</definedName>
    <definedName name="__nov2" localSheetId="10">#REF!</definedName>
    <definedName name="__nov2">#REF!</definedName>
    <definedName name="__oct2" localSheetId="12">#REF!</definedName>
    <definedName name="__oct2" localSheetId="2">#REF!</definedName>
    <definedName name="__oct2" localSheetId="11">#REF!</definedName>
    <definedName name="__oct2" localSheetId="0">#REF!</definedName>
    <definedName name="__oct2" localSheetId="10">#REF!</definedName>
    <definedName name="__oct2">#REF!</definedName>
    <definedName name="__sep2" localSheetId="12">#REF!</definedName>
    <definedName name="__sep2" localSheetId="2">#REF!</definedName>
    <definedName name="__sep2" localSheetId="11">#REF!</definedName>
    <definedName name="__sep2" localSheetId="0">#REF!</definedName>
    <definedName name="__sep2" localSheetId="10">#REF!</definedName>
    <definedName name="__sep2">#REF!</definedName>
    <definedName name="__UPC1" localSheetId="12">#REF!</definedName>
    <definedName name="__UPC1" localSheetId="2">#REF!</definedName>
    <definedName name="__UPC1" localSheetId="11">#REF!</definedName>
    <definedName name="__UPC1" localSheetId="0">#REF!</definedName>
    <definedName name="__UPC1" localSheetId="10">#REF!</definedName>
    <definedName name="__UPC1">#REF!</definedName>
    <definedName name="__UPC2">[2]input_rev3_sort!$J$16,[2]input_rev3_sort!$K$1:$K$65536</definedName>
    <definedName name="_A" localSheetId="12">#REF!</definedName>
    <definedName name="_A" localSheetId="2">#REF!</definedName>
    <definedName name="_A" localSheetId="11">#REF!</definedName>
    <definedName name="_A" localSheetId="0">#REF!</definedName>
    <definedName name="_A" localSheetId="10">#REF!</definedName>
    <definedName name="_A">#REF!</definedName>
    <definedName name="_apr2" localSheetId="12">#REF!</definedName>
    <definedName name="_apr2" localSheetId="2">#REF!</definedName>
    <definedName name="_apr2" localSheetId="11">#REF!</definedName>
    <definedName name="_apr2" localSheetId="0">#REF!</definedName>
    <definedName name="_apr2" localSheetId="10">#REF!</definedName>
    <definedName name="_apr2">#REF!</definedName>
    <definedName name="_aug10">[1]CURRENT!$D:$N</definedName>
    <definedName name="_aug2" localSheetId="12">#REF!</definedName>
    <definedName name="_aug2" localSheetId="2">#REF!</definedName>
    <definedName name="_aug2" localSheetId="11">#REF!</definedName>
    <definedName name="_aug2" localSheetId="0">#REF!</definedName>
    <definedName name="_aug2" localSheetId="10">#REF!</definedName>
    <definedName name="_aug2">#REF!</definedName>
    <definedName name="_aug9">[1]PRIOR!$D:$N</definedName>
    <definedName name="_dec2" localSheetId="12">#REF!</definedName>
    <definedName name="_dec2" localSheetId="2">#REF!</definedName>
    <definedName name="_dec2" localSheetId="11">#REF!</definedName>
    <definedName name="_dec2" localSheetId="0">#REF!</definedName>
    <definedName name="_dec2" localSheetId="10">#REF!</definedName>
    <definedName name="_dec2">#REF!</definedName>
    <definedName name="_feb2" localSheetId="12">#REF!</definedName>
    <definedName name="_feb2" localSheetId="2">#REF!</definedName>
    <definedName name="_feb2" localSheetId="11">#REF!</definedName>
    <definedName name="_feb2" localSheetId="0">#REF!</definedName>
    <definedName name="_feb2" localSheetId="10">#REF!</definedName>
    <definedName name="_feb2">#REF!</definedName>
    <definedName name="_Fill" localSheetId="12" hidden="1">#REF!</definedName>
    <definedName name="_Fill" localSheetId="2" hidden="1">#REF!</definedName>
    <definedName name="_Fill" localSheetId="11" hidden="1">#REF!</definedName>
    <definedName name="_Fill" localSheetId="0" hidden="1">#REF!</definedName>
    <definedName name="_Fill" localSheetId="10" hidden="1">#REF!</definedName>
    <definedName name="_Fill" hidden="1">#REF!</definedName>
    <definedName name="_xlnm._FilterDatabase" localSheetId="2" hidden="1">'Dept Combined LEM'!$A$7:$BG$166</definedName>
    <definedName name="_xlnm._FilterDatabase" localSheetId="0" hidden="1">'FY 20 UNMHS Presentation'!$A$7:$J$76</definedName>
    <definedName name="_xlnm._FilterDatabase" localSheetId="1" hidden="1">'HS Combined MedePM Plan'!$A$7:$I$79</definedName>
    <definedName name="_xlnm._FilterDatabase" localSheetId="7" hidden="1">'SRMC Surgery'!$A$12:$CR$34</definedName>
    <definedName name="_jan2" localSheetId="12">#REF!</definedName>
    <definedName name="_jan2" localSheetId="2">#REF!</definedName>
    <definedName name="_jan2" localSheetId="11">#REF!</definedName>
    <definedName name="_jan2" localSheetId="0">#REF!</definedName>
    <definedName name="_jan2" localSheetId="10">#REF!</definedName>
    <definedName name="_jan2">#REF!</definedName>
    <definedName name="_jul2" localSheetId="12">#REF!</definedName>
    <definedName name="_jul2" localSheetId="2">#REF!</definedName>
    <definedName name="_jul2" localSheetId="11">#REF!</definedName>
    <definedName name="_jul2" localSheetId="0">#REF!</definedName>
    <definedName name="_jul2" localSheetId="10">#REF!</definedName>
    <definedName name="_jul2">#REF!</definedName>
    <definedName name="_jun2" localSheetId="12">#REF!</definedName>
    <definedName name="_jun2" localSheetId="2">#REF!</definedName>
    <definedName name="_jun2" localSheetId="11">#REF!</definedName>
    <definedName name="_jun2" localSheetId="0">#REF!</definedName>
    <definedName name="_jun2" localSheetId="10">#REF!</definedName>
    <definedName name="_jun2">#REF!</definedName>
    <definedName name="_mar2" localSheetId="12">#REF!</definedName>
    <definedName name="_mar2" localSheetId="2">#REF!</definedName>
    <definedName name="_mar2" localSheetId="11">#REF!</definedName>
    <definedName name="_mar2" localSheetId="0">#REF!</definedName>
    <definedName name="_mar2" localSheetId="10">#REF!</definedName>
    <definedName name="_mar2">#REF!</definedName>
    <definedName name="_may2" localSheetId="12">#REF!</definedName>
    <definedName name="_may2" localSheetId="2">#REF!</definedName>
    <definedName name="_may2" localSheetId="11">#REF!</definedName>
    <definedName name="_may2" localSheetId="0">#REF!</definedName>
    <definedName name="_may2" localSheetId="10">#REF!</definedName>
    <definedName name="_may2">#REF!</definedName>
    <definedName name="_mhc1">[2]input_rev3_sort!$J$16,[2]input_rev3_sort!$L$1:$L$65536</definedName>
    <definedName name="_nov2" localSheetId="12">#REF!</definedName>
    <definedName name="_nov2" localSheetId="2">#REF!</definedName>
    <definedName name="_nov2" localSheetId="11">#REF!</definedName>
    <definedName name="_nov2" localSheetId="0">#REF!</definedName>
    <definedName name="_nov2" localSheetId="10">#REF!</definedName>
    <definedName name="_nov2">#REF!</definedName>
    <definedName name="_oct2" localSheetId="12">#REF!</definedName>
    <definedName name="_oct2" localSheetId="2">#REF!</definedName>
    <definedName name="_oct2" localSheetId="11">#REF!</definedName>
    <definedName name="_oct2" localSheetId="0">#REF!</definedName>
    <definedName name="_oct2" localSheetId="10">#REF!</definedName>
    <definedName name="_oct2">#REF!</definedName>
    <definedName name="_sep2" localSheetId="12">#REF!</definedName>
    <definedName name="_sep2" localSheetId="2">#REF!</definedName>
    <definedName name="_sep2" localSheetId="11">#REF!</definedName>
    <definedName name="_sep2" localSheetId="0">#REF!</definedName>
    <definedName name="_sep2" localSheetId="10">#REF!</definedName>
    <definedName name="_sep2">#REF!</definedName>
    <definedName name="_UPC1" localSheetId="12">#REF!</definedName>
    <definedName name="_UPC1" localSheetId="2">#REF!</definedName>
    <definedName name="_UPC1" localSheetId="11">#REF!</definedName>
    <definedName name="_UPC1" localSheetId="0">#REF!</definedName>
    <definedName name="_UPC1" localSheetId="10">#REF!</definedName>
    <definedName name="_UPC1">#REF!</definedName>
    <definedName name="_UPC2">[2]input_rev3_sort!$J$16,[2]input_rev3_sort!$K$1:$K$65536</definedName>
    <definedName name="a" localSheetId="12">#REF!</definedName>
    <definedName name="a" localSheetId="2">#REF!</definedName>
    <definedName name="a" localSheetId="11">#REF!</definedName>
    <definedName name="a" localSheetId="0">#REF!</definedName>
    <definedName name="a" localSheetId="10">#REF!</definedName>
    <definedName name="a">#REF!</definedName>
    <definedName name="abc" localSheetId="12">#REF!</definedName>
    <definedName name="abc" localSheetId="2">#REF!</definedName>
    <definedName name="abc" localSheetId="11">#REF!</definedName>
    <definedName name="abc" localSheetId="0">#REF!</definedName>
    <definedName name="abc" localSheetId="10">#REF!</definedName>
    <definedName name="abc">#REF!</definedName>
    <definedName name="ActualFY">'[3]Provider Actuals'!$F$3:$F$1173</definedName>
    <definedName name="AP87_" localSheetId="12">#REF!</definedName>
    <definedName name="AP87_" localSheetId="2">#REF!</definedName>
    <definedName name="AP87_" localSheetId="11">#REF!</definedName>
    <definedName name="AP87_" localSheetId="0">#REF!</definedName>
    <definedName name="AP87_" localSheetId="10">#REF!</definedName>
    <definedName name="AP87_">#REF!</definedName>
    <definedName name="apr" localSheetId="12">#REF!</definedName>
    <definedName name="apr" localSheetId="2">#REF!</definedName>
    <definedName name="apr" localSheetId="11">#REF!</definedName>
    <definedName name="apr" localSheetId="0">#REF!</definedName>
    <definedName name="apr" localSheetId="10">#REF!</definedName>
    <definedName name="apr">#REF!</definedName>
    <definedName name="April" localSheetId="12">#REF!</definedName>
    <definedName name="April" localSheetId="2">#REF!</definedName>
    <definedName name="April" localSheetId="11">#REF!</definedName>
    <definedName name="April" localSheetId="0">#REF!</definedName>
    <definedName name="April" localSheetId="10">#REF!</definedName>
    <definedName name="April">#REF!</definedName>
    <definedName name="April_2" localSheetId="12">#REF!</definedName>
    <definedName name="April_2" localSheetId="2">#REF!</definedName>
    <definedName name="April_2" localSheetId="11">#REF!</definedName>
    <definedName name="April_2" localSheetId="0">#REF!</definedName>
    <definedName name="April_2" localSheetId="10">#REF!</definedName>
    <definedName name="April_2">#REF!</definedName>
    <definedName name="ASAP1" localSheetId="12">#REF!</definedName>
    <definedName name="ASAP1" localSheetId="2">#REF!</definedName>
    <definedName name="ASAP1" localSheetId="11">#REF!</definedName>
    <definedName name="ASAP1" localSheetId="0">#REF!</definedName>
    <definedName name="ASAP1" localSheetId="10">#REF!</definedName>
    <definedName name="ASAP1">#REF!</definedName>
    <definedName name="aug" localSheetId="12">#REF!</definedName>
    <definedName name="aug" localSheetId="2">#REF!</definedName>
    <definedName name="aug" localSheetId="11">#REF!</definedName>
    <definedName name="aug" localSheetId="0">#REF!</definedName>
    <definedName name="aug" localSheetId="10">#REF!</definedName>
    <definedName name="aug">#REF!</definedName>
    <definedName name="Aug_2" localSheetId="12">#REF!</definedName>
    <definedName name="Aug_2" localSheetId="2">#REF!</definedName>
    <definedName name="Aug_2" localSheetId="11">#REF!</definedName>
    <definedName name="Aug_2" localSheetId="0">#REF!</definedName>
    <definedName name="Aug_2" localSheetId="10">#REF!</definedName>
    <definedName name="Aug_2">#REF!</definedName>
    <definedName name="August" localSheetId="12">#REF!</definedName>
    <definedName name="August" localSheetId="2">#REF!</definedName>
    <definedName name="August" localSheetId="11">#REF!</definedName>
    <definedName name="August" localSheetId="0">#REF!</definedName>
    <definedName name="August" localSheetId="10">#REF!</definedName>
    <definedName name="August">#REF!</definedName>
    <definedName name="August_2" localSheetId="12">#REF!</definedName>
    <definedName name="August_2" localSheetId="2">#REF!</definedName>
    <definedName name="August_2" localSheetId="11">#REF!</definedName>
    <definedName name="August_2" localSheetId="0">#REF!</definedName>
    <definedName name="August_2" localSheetId="10">#REF!</definedName>
    <definedName name="August_2">#REF!</definedName>
    <definedName name="augustip" localSheetId="12">#REF!</definedName>
    <definedName name="augustip" localSheetId="2">#REF!</definedName>
    <definedName name="augustip" localSheetId="11">#REF!</definedName>
    <definedName name="augustip" localSheetId="0">#REF!</definedName>
    <definedName name="augustip" localSheetId="10">#REF!</definedName>
    <definedName name="augustip">#REF!</definedName>
    <definedName name="augustop" localSheetId="12">#REF!</definedName>
    <definedName name="augustop" localSheetId="2">#REF!</definedName>
    <definedName name="augustop" localSheetId="11">#REF!</definedName>
    <definedName name="augustop" localSheetId="0">#REF!</definedName>
    <definedName name="augustop" localSheetId="10">#REF!</definedName>
    <definedName name="augustop">#REF!</definedName>
    <definedName name="augustttl" localSheetId="12">#REF!</definedName>
    <definedName name="augustttl" localSheetId="2">#REF!</definedName>
    <definedName name="augustttl" localSheetId="11">#REF!</definedName>
    <definedName name="augustttl" localSheetId="0">#REF!</definedName>
    <definedName name="augustttl" localSheetId="10">#REF!</definedName>
    <definedName name="augustttl">#REF!</definedName>
    <definedName name="B_1BD1" localSheetId="12">#REF!</definedName>
    <definedName name="B_1BD1" localSheetId="2">#REF!</definedName>
    <definedName name="B_1BD1" localSheetId="11">#REF!</definedName>
    <definedName name="B_1BD1" localSheetId="0">#REF!</definedName>
    <definedName name="B_1BD1" localSheetId="10">#REF!</definedName>
    <definedName name="B_1BD1">#REF!</definedName>
    <definedName name="B_1BD2" localSheetId="12">#REF!</definedName>
    <definedName name="B_1BD2" localSheetId="2">#REF!</definedName>
    <definedName name="B_1BD2" localSheetId="11">#REF!</definedName>
    <definedName name="B_1BD2" localSheetId="0">#REF!</definedName>
    <definedName name="B_1BD2" localSheetId="10">#REF!</definedName>
    <definedName name="B_1BD2">#REF!</definedName>
    <definedName name="B_1BD3" localSheetId="12">#REF!</definedName>
    <definedName name="B_1BD3" localSheetId="2">#REF!</definedName>
    <definedName name="B_1BD3" localSheetId="11">#REF!</definedName>
    <definedName name="B_1BD3" localSheetId="0">#REF!</definedName>
    <definedName name="B_1BD3" localSheetId="10">#REF!</definedName>
    <definedName name="B_1BD3">#REF!</definedName>
    <definedName name="B_1BD4" localSheetId="12">#REF!</definedName>
    <definedName name="B_1BD4" localSheetId="2">#REF!</definedName>
    <definedName name="B_1BD4" localSheetId="11">#REF!</definedName>
    <definedName name="B_1BD4" localSheetId="0">#REF!</definedName>
    <definedName name="B_1BD4" localSheetId="10">#REF!</definedName>
    <definedName name="B_1BD4">#REF!</definedName>
    <definedName name="B_1PG1" localSheetId="12">#REF!</definedName>
    <definedName name="B_1PG1" localSheetId="2">#REF!</definedName>
    <definedName name="B_1PG1" localSheetId="11">#REF!</definedName>
    <definedName name="B_1PG1" localSheetId="0">#REF!</definedName>
    <definedName name="B_1PG1" localSheetId="10">#REF!</definedName>
    <definedName name="B_1PG1">#REF!</definedName>
    <definedName name="B_1PG2">#N/A</definedName>
    <definedName name="B_1PG3" localSheetId="12">#REF!</definedName>
    <definedName name="B_1PG3" localSheetId="2">#REF!</definedName>
    <definedName name="B_1PG3" localSheetId="11">#REF!</definedName>
    <definedName name="B_1PG3" localSheetId="0">#REF!</definedName>
    <definedName name="B_1PG3" localSheetId="10">#REF!</definedName>
    <definedName name="B_1PG3">#REF!</definedName>
    <definedName name="B_1PG4" localSheetId="12">#REF!</definedName>
    <definedName name="B_1PG4" localSheetId="2">#REF!</definedName>
    <definedName name="B_1PG4" localSheetId="11">#REF!</definedName>
    <definedName name="B_1PG4" localSheetId="0">#REF!</definedName>
    <definedName name="B_1PG4" localSheetId="10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 localSheetId="12">#REF!</definedName>
    <definedName name="BPT1PG1" localSheetId="2">#REF!</definedName>
    <definedName name="BPT1PG1" localSheetId="11">#REF!</definedName>
    <definedName name="BPT1PG1" localSheetId="0">#REF!</definedName>
    <definedName name="BPT1PG1" localSheetId="10">#REF!</definedName>
    <definedName name="BPT1PG1">#REF!</definedName>
    <definedName name="BPT1REST">#N/A</definedName>
    <definedName name="BURDEN">#N/A</definedName>
    <definedName name="CREXPORT" localSheetId="12">#REF!</definedName>
    <definedName name="CREXPORT" localSheetId="2">#REF!</definedName>
    <definedName name="CREXPORT" localSheetId="11">#REF!</definedName>
    <definedName name="CREXPORT" localSheetId="0">#REF!</definedName>
    <definedName name="CREXPORT" localSheetId="10">#REF!</definedName>
    <definedName name="CREXPORT">#REF!</definedName>
    <definedName name="Curr_ip">[4]statss2!$D$137,[4]statss2!$D$157,[4]statss2!$D$194,[4]statss2!$D$209,[4]statss2!$D$225,[4]statss2!$D$245</definedName>
    <definedName name="Current" localSheetId="12">#REF!</definedName>
    <definedName name="Current" localSheetId="2">#REF!</definedName>
    <definedName name="Current" localSheetId="11">#REF!</definedName>
    <definedName name="Current" localSheetId="0">#REF!</definedName>
    <definedName name="Current" localSheetId="10">#REF!</definedName>
    <definedName name="Current">#REF!</definedName>
    <definedName name="currentmonth">[5]input_date!$B$3</definedName>
    <definedName name="currentmonthend">[6]DATE!$B$7</definedName>
    <definedName name="currentmonthnumber" localSheetId="12">#REF!</definedName>
    <definedName name="currentmonthnumber" localSheetId="2">#REF!</definedName>
    <definedName name="currentmonthnumber" localSheetId="11">#REF!</definedName>
    <definedName name="currentmonthnumber" localSheetId="0">#REF!</definedName>
    <definedName name="currentmonthnumber" localSheetId="10">#REF!</definedName>
    <definedName name="currentmonthnumber">#REF!</definedName>
    <definedName name="D" localSheetId="12">#REF!</definedName>
    <definedName name="D" localSheetId="2">#REF!</definedName>
    <definedName name="D" localSheetId="11">#REF!</definedName>
    <definedName name="D" localSheetId="0">#REF!</definedName>
    <definedName name="D" localSheetId="10">#REF!</definedName>
    <definedName name="D">#REF!</definedName>
    <definedName name="DataRange" localSheetId="12">Actual Rolling [7]Exp!$AI$1:$BB$9387</definedName>
    <definedName name="DataRange" localSheetId="2">Actual Rolling [7]Exp!$AI$1:$BB$9387</definedName>
    <definedName name="DataRange" localSheetId="11">Actual Rolling [7]Exp!$AI$1:$BB$9387</definedName>
    <definedName name="DataRange" localSheetId="0">Actual Rolling [7]Exp!$AI$1:$BB$9387</definedName>
    <definedName name="DataRange" localSheetId="10">Actual Rolling [7]Exp!$AI$1:$BB$9387</definedName>
    <definedName name="DataRange">Actual Rolling [7]Exp!$AI$1:$BB$9387</definedName>
    <definedName name="dec" localSheetId="12">#REF!</definedName>
    <definedName name="dec" localSheetId="2">#REF!</definedName>
    <definedName name="dec" localSheetId="11">#REF!</definedName>
    <definedName name="dec" localSheetId="0">#REF!</definedName>
    <definedName name="dec" localSheetId="10">#REF!</definedName>
    <definedName name="dec">#REF!</definedName>
    <definedName name="Dec_2">[8]Dec_2!$A$1:$K$663</definedName>
    <definedName name="Dec_3" localSheetId="12">#REF!</definedName>
    <definedName name="Dec_3" localSheetId="2">#REF!</definedName>
    <definedName name="Dec_3" localSheetId="11">#REF!</definedName>
    <definedName name="Dec_3" localSheetId="0">#REF!</definedName>
    <definedName name="Dec_3" localSheetId="10">#REF!</definedName>
    <definedName name="Dec_3">#REF!</definedName>
    <definedName name="Dec_PX" localSheetId="12">#REF!</definedName>
    <definedName name="Dec_PX" localSheetId="2">#REF!</definedName>
    <definedName name="Dec_PX" localSheetId="11">#REF!</definedName>
    <definedName name="Dec_PX" localSheetId="0">#REF!</definedName>
    <definedName name="Dec_PX" localSheetId="10">#REF!</definedName>
    <definedName name="Dec_PX">#REF!</definedName>
    <definedName name="feb" localSheetId="12">#REF!</definedName>
    <definedName name="feb" localSheetId="2">#REF!</definedName>
    <definedName name="feb" localSheetId="11">#REF!</definedName>
    <definedName name="feb" localSheetId="0">#REF!</definedName>
    <definedName name="feb" localSheetId="10">#REF!</definedName>
    <definedName name="feb">#REF!</definedName>
    <definedName name="Feb_classic" localSheetId="12">#REF!</definedName>
    <definedName name="Feb_classic" localSheetId="2">#REF!</definedName>
    <definedName name="Feb_classic" localSheetId="11">#REF!</definedName>
    <definedName name="Feb_classic" localSheetId="0">#REF!</definedName>
    <definedName name="Feb_classic" localSheetId="10">#REF!</definedName>
    <definedName name="Feb_classic">#REF!</definedName>
    <definedName name="Feb_Old_2" localSheetId="12">#REF!</definedName>
    <definedName name="Feb_Old_2" localSheetId="2">#REF!</definedName>
    <definedName name="Feb_Old_2" localSheetId="11">#REF!</definedName>
    <definedName name="Feb_Old_2" localSheetId="0">#REF!</definedName>
    <definedName name="Feb_Old_2" localSheetId="10">#REF!</definedName>
    <definedName name="Feb_Old_2">#REF!</definedName>
    <definedName name="February" localSheetId="12">#REF!</definedName>
    <definedName name="February" localSheetId="2">#REF!</definedName>
    <definedName name="February" localSheetId="11">#REF!</definedName>
    <definedName name="February" localSheetId="0">#REF!</definedName>
    <definedName name="February" localSheetId="10">#REF!</definedName>
    <definedName name="February">#REF!</definedName>
    <definedName name="February_2" localSheetId="12">#REF!</definedName>
    <definedName name="February_2" localSheetId="2">#REF!</definedName>
    <definedName name="February_2" localSheetId="11">#REF!</definedName>
    <definedName name="February_2" localSheetId="0">#REF!</definedName>
    <definedName name="February_2" localSheetId="10">#REF!</definedName>
    <definedName name="February_2">#REF!</definedName>
    <definedName name="FebTEST" localSheetId="12">#REF!</definedName>
    <definedName name="FebTEST" localSheetId="2">#REF!</definedName>
    <definedName name="FebTEST" localSheetId="11">#REF!</definedName>
    <definedName name="FebTEST" localSheetId="0">#REF!</definedName>
    <definedName name="FebTEST" localSheetId="10">#REF!</definedName>
    <definedName name="FebTEST">#REF!</definedName>
    <definedName name="Fiscal_Period">[6]DATE!$B$2</definedName>
    <definedName name="Fiscal_Year">[6]DATE!$B$3</definedName>
    <definedName name="fiscalmonth">[5]input_date!$B$6</definedName>
    <definedName name="fiscalyear">[9]input_date!$B$4</definedName>
    <definedName name="GENERAL" localSheetId="12">#REF!</definedName>
    <definedName name="GENERAL" localSheetId="2">#REF!</definedName>
    <definedName name="GENERAL" localSheetId="11">#REF!</definedName>
    <definedName name="GENERAL" localSheetId="0">#REF!</definedName>
    <definedName name="GENERAL" localSheetId="10">#REF!</definedName>
    <definedName name="GENERAL">#REF!</definedName>
    <definedName name="h" localSheetId="12">#REF!</definedName>
    <definedName name="h" localSheetId="2">#REF!</definedName>
    <definedName name="h" localSheetId="11">#REF!</definedName>
    <definedName name="h" localSheetId="0">#REF!</definedName>
    <definedName name="h" localSheetId="10">#REF!</definedName>
    <definedName name="h">#REF!</definedName>
    <definedName name="HeaderRange" localSheetId="12">Actual Rolling [7]Exp!$AI$1:$BB$1</definedName>
    <definedName name="HeaderRange" localSheetId="2">Actual Rolling [7]Exp!$AI$1:$BB$1</definedName>
    <definedName name="HeaderRange" localSheetId="11">Actual Rolling [7]Exp!$AI$1:$BB$1</definedName>
    <definedName name="HeaderRange" localSheetId="0">Actual Rolling [7]Exp!$AI$1:$BB$1</definedName>
    <definedName name="HeaderRange" localSheetId="10">Actual Rolling [7]Exp!$AI$1:$BB$1</definedName>
    <definedName name="HeaderRange">Actual Rolling [7]Exp!$AI$1:$BB$1</definedName>
    <definedName name="HOME" localSheetId="12">#REF!</definedName>
    <definedName name="HOME" localSheetId="2">#REF!</definedName>
    <definedName name="HOME" localSheetId="11">#REF!</definedName>
    <definedName name="HOME" localSheetId="0">#REF!</definedName>
    <definedName name="HOME" localSheetId="10">#REF!</definedName>
    <definedName name="HOME">#REF!</definedName>
    <definedName name="hoursmonth" localSheetId="12">#REF!</definedName>
    <definedName name="hoursmonth" localSheetId="2">#REF!</definedName>
    <definedName name="hoursmonth" localSheetId="11">#REF!</definedName>
    <definedName name="hoursmonth" localSheetId="0">#REF!</definedName>
    <definedName name="hoursmonth" localSheetId="10">#REF!</definedName>
    <definedName name="hoursmonth">#REF!</definedName>
    <definedName name="hoursytd" localSheetId="12">#REF!</definedName>
    <definedName name="hoursytd" localSheetId="2">#REF!</definedName>
    <definedName name="hoursytd" localSheetId="11">#REF!</definedName>
    <definedName name="hoursytd" localSheetId="0">#REF!</definedName>
    <definedName name="hoursytd" localSheetId="10">#REF!</definedName>
    <definedName name="hoursytd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jan" localSheetId="12">#REF!</definedName>
    <definedName name="jan" localSheetId="2">#REF!</definedName>
    <definedName name="jan" localSheetId="11">#REF!</definedName>
    <definedName name="jan" localSheetId="0">#REF!</definedName>
    <definedName name="jan" localSheetId="10">#REF!</definedName>
    <definedName name="jan">#REF!</definedName>
    <definedName name="Jan_2" localSheetId="12">#REF!</definedName>
    <definedName name="Jan_2" localSheetId="2">#REF!</definedName>
    <definedName name="Jan_2" localSheetId="11">#REF!</definedName>
    <definedName name="Jan_2" localSheetId="0">#REF!</definedName>
    <definedName name="Jan_2" localSheetId="10">#REF!</definedName>
    <definedName name="Jan_2">#REF!</definedName>
    <definedName name="Jan_3" localSheetId="12">#REF!</definedName>
    <definedName name="Jan_3" localSheetId="2">#REF!</definedName>
    <definedName name="Jan_3" localSheetId="11">#REF!</definedName>
    <definedName name="Jan_3" localSheetId="0">#REF!</definedName>
    <definedName name="Jan_3" localSheetId="10">#REF!</definedName>
    <definedName name="Jan_3">#REF!</definedName>
    <definedName name="jana" localSheetId="12">#REF!</definedName>
    <definedName name="jana" localSheetId="2">#REF!</definedName>
    <definedName name="jana" localSheetId="11">#REF!</definedName>
    <definedName name="jana" localSheetId="0">#REF!</definedName>
    <definedName name="jana" localSheetId="10">#REF!</definedName>
    <definedName name="jana">#REF!</definedName>
    <definedName name="January" localSheetId="12">#REF!</definedName>
    <definedName name="January" localSheetId="2">#REF!</definedName>
    <definedName name="January" localSheetId="11">#REF!</definedName>
    <definedName name="January" localSheetId="0">#REF!</definedName>
    <definedName name="January" localSheetId="10">#REF!</definedName>
    <definedName name="January">#REF!</definedName>
    <definedName name="JE" localSheetId="12">#REF!</definedName>
    <definedName name="JE" localSheetId="2">#REF!</definedName>
    <definedName name="JE" localSheetId="11">#REF!</definedName>
    <definedName name="JE" localSheetId="0">#REF!</definedName>
    <definedName name="JE" localSheetId="10">#REF!</definedName>
    <definedName name="JE">#REF!</definedName>
    <definedName name="jul" localSheetId="12">#REF!</definedName>
    <definedName name="jul" localSheetId="2">#REF!</definedName>
    <definedName name="jul" localSheetId="11">#REF!</definedName>
    <definedName name="jul" localSheetId="0">#REF!</definedName>
    <definedName name="jul" localSheetId="10">#REF!</definedName>
    <definedName name="jul">#REF!</definedName>
    <definedName name="July" localSheetId="12">#REF!</definedName>
    <definedName name="July" localSheetId="2">#REF!</definedName>
    <definedName name="July" localSheetId="11">#REF!</definedName>
    <definedName name="July" localSheetId="0">#REF!</definedName>
    <definedName name="July" localSheetId="10">#REF!</definedName>
    <definedName name="July">#REF!</definedName>
    <definedName name="July_2" localSheetId="12">#REF!</definedName>
    <definedName name="July_2" localSheetId="2">#REF!</definedName>
    <definedName name="July_2" localSheetId="11">#REF!</definedName>
    <definedName name="July_2" localSheetId="0">#REF!</definedName>
    <definedName name="July_2" localSheetId="10">#REF!</definedName>
    <definedName name="July_2">#REF!</definedName>
    <definedName name="July_FY2000" localSheetId="12">#REF!</definedName>
    <definedName name="July_FY2000" localSheetId="2">#REF!</definedName>
    <definedName name="July_FY2000" localSheetId="11">#REF!</definedName>
    <definedName name="July_FY2000" localSheetId="0">#REF!</definedName>
    <definedName name="July_FY2000" localSheetId="10">#REF!</definedName>
    <definedName name="July_FY2000">#REF!</definedName>
    <definedName name="july2" localSheetId="12">#REF!</definedName>
    <definedName name="july2" localSheetId="2">#REF!</definedName>
    <definedName name="july2" localSheetId="11">#REF!</definedName>
    <definedName name="july2" localSheetId="0">#REF!</definedName>
    <definedName name="july2" localSheetId="10">#REF!</definedName>
    <definedName name="july2">#REF!</definedName>
    <definedName name="july22" localSheetId="12">#REF!</definedName>
    <definedName name="july22" localSheetId="2">#REF!</definedName>
    <definedName name="july22" localSheetId="11">#REF!</definedName>
    <definedName name="july22" localSheetId="0">#REF!</definedName>
    <definedName name="july22" localSheetId="10">#REF!</definedName>
    <definedName name="july22">#REF!</definedName>
    <definedName name="july9">[1]July2009!$D$2:$N$179</definedName>
    <definedName name="julyip">[4]input_rev3_sort!$J$16,[4]input_rev3_sort!$J$1:$J$65536</definedName>
    <definedName name="julyop">[4]input_rev3_sort!$J$16,[4]input_rev3_sort!$K$1:$K$65536</definedName>
    <definedName name="julyttl">[4]input_rev3_sort!$J$16,[4]input_rev3_sort!$L$1:$L$65536</definedName>
    <definedName name="jun" localSheetId="12">#REF!</definedName>
    <definedName name="jun" localSheetId="2">#REF!</definedName>
    <definedName name="jun" localSheetId="11">#REF!</definedName>
    <definedName name="jun" localSheetId="0">#REF!</definedName>
    <definedName name="jun" localSheetId="10">#REF!</definedName>
    <definedName name="jun">#REF!</definedName>
    <definedName name="jun2a" localSheetId="12">#REF!</definedName>
    <definedName name="jun2a" localSheetId="2">#REF!</definedName>
    <definedName name="jun2a" localSheetId="11">#REF!</definedName>
    <definedName name="jun2a" localSheetId="0">#REF!</definedName>
    <definedName name="jun2a" localSheetId="10">#REF!</definedName>
    <definedName name="jun2a">#REF!</definedName>
    <definedName name="june" localSheetId="12">#REF!</definedName>
    <definedName name="june" localSheetId="2">#REF!</definedName>
    <definedName name="june" localSheetId="11">#REF!</definedName>
    <definedName name="june" localSheetId="0">#REF!</definedName>
    <definedName name="june" localSheetId="10">#REF!</definedName>
    <definedName name="june">#REF!</definedName>
    <definedName name="june2" localSheetId="12">#REF!</definedName>
    <definedName name="june2" localSheetId="2">#REF!</definedName>
    <definedName name="june2" localSheetId="11">#REF!</definedName>
    <definedName name="june2" localSheetId="0">#REF!</definedName>
    <definedName name="june2" localSheetId="10">#REF!</definedName>
    <definedName name="june2">#REF!</definedName>
    <definedName name="keystats">[10]input_date!$B$7</definedName>
    <definedName name="LINE69" localSheetId="12">#REF!</definedName>
    <definedName name="LINE69" localSheetId="2">#REF!</definedName>
    <definedName name="LINE69" localSheetId="11">#REF!</definedName>
    <definedName name="LINE69" localSheetId="0">#REF!</definedName>
    <definedName name="LINE69" localSheetId="10">#REF!</definedName>
    <definedName name="LINE69">#REF!</definedName>
    <definedName name="mar" localSheetId="12">#REF!</definedName>
    <definedName name="mar" localSheetId="2">#REF!</definedName>
    <definedName name="mar" localSheetId="11">#REF!</definedName>
    <definedName name="mar" localSheetId="0">#REF!</definedName>
    <definedName name="mar" localSheetId="10">#REF!</definedName>
    <definedName name="mar">#REF!</definedName>
    <definedName name="Mar_2" localSheetId="12">#REF!</definedName>
    <definedName name="Mar_2" localSheetId="2">#REF!</definedName>
    <definedName name="Mar_2" localSheetId="11">#REF!</definedName>
    <definedName name="Mar_2" localSheetId="0">#REF!</definedName>
    <definedName name="Mar_2" localSheetId="10">#REF!</definedName>
    <definedName name="Mar_2">#REF!</definedName>
    <definedName name="march" localSheetId="12">#REF!</definedName>
    <definedName name="march" localSheetId="2">#REF!</definedName>
    <definedName name="march" localSheetId="11">#REF!</definedName>
    <definedName name="march" localSheetId="0">#REF!</definedName>
    <definedName name="march" localSheetId="10">#REF!</definedName>
    <definedName name="march">#REF!</definedName>
    <definedName name="may" localSheetId="12">#REF!</definedName>
    <definedName name="may" localSheetId="2">#REF!</definedName>
    <definedName name="may" localSheetId="11">#REF!</definedName>
    <definedName name="may" localSheetId="0">#REF!</definedName>
    <definedName name="may" localSheetId="10">#REF!</definedName>
    <definedName name="may">#REF!</definedName>
    <definedName name="may_check" localSheetId="12">#REF!</definedName>
    <definedName name="may_check" localSheetId="2">#REF!</definedName>
    <definedName name="may_check" localSheetId="11">#REF!</definedName>
    <definedName name="may_check" localSheetId="0">#REF!</definedName>
    <definedName name="may_check" localSheetId="10">#REF!</definedName>
    <definedName name="may_check">#REF!</definedName>
    <definedName name="MGWRVDATA">[11]MGWRVUDATA!$B$5:$H$120</definedName>
    <definedName name="monthendformatted" localSheetId="12">[5]input_date!#REF!</definedName>
    <definedName name="monthendformatted" localSheetId="2">[5]input_date!#REF!</definedName>
    <definedName name="monthendformatted" localSheetId="11">[5]input_date!#REF!</definedName>
    <definedName name="monthendformatted" localSheetId="0">[5]input_date!#REF!</definedName>
    <definedName name="monthendformatted" localSheetId="10">[5]input_date!#REF!</definedName>
    <definedName name="monthendformatted">[5]input_date!#REF!</definedName>
    <definedName name="monthlist" localSheetId="12">#REF!</definedName>
    <definedName name="monthlist" localSheetId="2">#REF!</definedName>
    <definedName name="monthlist" localSheetId="11">#REF!</definedName>
    <definedName name="monthlist" localSheetId="0">#REF!</definedName>
    <definedName name="monthlist" localSheetId="10">#REF!</definedName>
    <definedName name="monthlist">#REF!</definedName>
    <definedName name="new">[12]input_rev3_sort!$J$16,[12]input_rev3_sort!$K$1:$K$65536</definedName>
    <definedName name="nov" localSheetId="12">#REF!</definedName>
    <definedName name="nov" localSheetId="2">#REF!</definedName>
    <definedName name="nov" localSheetId="11">#REF!</definedName>
    <definedName name="nov" localSheetId="0">#REF!</definedName>
    <definedName name="nov" localSheetId="10">#REF!</definedName>
    <definedName name="nov">#REF!</definedName>
    <definedName name="Nov_2" localSheetId="12">#REF!</definedName>
    <definedName name="Nov_2" localSheetId="2">#REF!</definedName>
    <definedName name="Nov_2" localSheetId="11">#REF!</definedName>
    <definedName name="Nov_2" localSheetId="0">#REF!</definedName>
    <definedName name="Nov_2" localSheetId="10">#REF!</definedName>
    <definedName name="Nov_2">#REF!</definedName>
    <definedName name="Nov_PX" localSheetId="12">#REF!</definedName>
    <definedName name="Nov_PX" localSheetId="2">#REF!</definedName>
    <definedName name="Nov_PX" localSheetId="11">#REF!</definedName>
    <definedName name="Nov_PX" localSheetId="0">#REF!</definedName>
    <definedName name="Nov_PX" localSheetId="10">#REF!</definedName>
    <definedName name="Nov_PX">#REF!</definedName>
    <definedName name="November" localSheetId="12">#REF!</definedName>
    <definedName name="November" localSheetId="2">#REF!</definedName>
    <definedName name="November" localSheetId="11">#REF!</definedName>
    <definedName name="November" localSheetId="0">#REF!</definedName>
    <definedName name="November" localSheetId="10">#REF!</definedName>
    <definedName name="November">#REF!</definedName>
    <definedName name="oct" localSheetId="12">#REF!</definedName>
    <definedName name="oct" localSheetId="2">#REF!</definedName>
    <definedName name="oct" localSheetId="11">#REF!</definedName>
    <definedName name="oct" localSheetId="0">#REF!</definedName>
    <definedName name="oct" localSheetId="10">#REF!</definedName>
    <definedName name="oct">#REF!</definedName>
    <definedName name="Oct_2" localSheetId="12">#REF!</definedName>
    <definedName name="Oct_2" localSheetId="2">#REF!</definedName>
    <definedName name="Oct_2" localSheetId="11">#REF!</definedName>
    <definedName name="Oct_2" localSheetId="0">#REF!</definedName>
    <definedName name="Oct_2" localSheetId="10">#REF!</definedName>
    <definedName name="Oct_2">#REF!</definedName>
    <definedName name="October" localSheetId="12">#REF!</definedName>
    <definedName name="October" localSheetId="2">#REF!</definedName>
    <definedName name="October" localSheetId="11">#REF!</definedName>
    <definedName name="October" localSheetId="0">#REF!</definedName>
    <definedName name="October" localSheetId="10">#REF!</definedName>
    <definedName name="October">#REF!</definedName>
    <definedName name="October_2" localSheetId="12">#REF!</definedName>
    <definedName name="October_2" localSheetId="2">#REF!</definedName>
    <definedName name="October_2" localSheetId="11">#REF!</definedName>
    <definedName name="October_2" localSheetId="0">#REF!</definedName>
    <definedName name="October_2" localSheetId="10">#REF!</definedName>
    <definedName name="October_2">#REF!</definedName>
    <definedName name="OLE_LINK2" localSheetId="0">'FY 20 UNMHS Presentation'!$E$75</definedName>
    <definedName name="PAGE1" localSheetId="12">#REF!</definedName>
    <definedName name="PAGE1" localSheetId="2">#REF!</definedName>
    <definedName name="PAGE1" localSheetId="11">#REF!</definedName>
    <definedName name="PAGE1" localSheetId="0">#REF!</definedName>
    <definedName name="PAGE1" localSheetId="10">#REF!</definedName>
    <definedName name="PAGE1">#REF!</definedName>
    <definedName name="PAGE2" localSheetId="12">#REF!</definedName>
    <definedName name="PAGE2" localSheetId="2">#REF!</definedName>
    <definedName name="PAGE2" localSheetId="11">#REF!</definedName>
    <definedName name="PAGE2" localSheetId="0">#REF!</definedName>
    <definedName name="PAGE2" localSheetId="10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 localSheetId="12">#REF!</definedName>
    <definedName name="PARTIV" localSheetId="2">#REF!</definedName>
    <definedName name="PARTIV" localSheetId="11">#REF!</definedName>
    <definedName name="PARTIV" localSheetId="0">#REF!</definedName>
    <definedName name="PARTIV" localSheetId="10">#REF!</definedName>
    <definedName name="PARTIV">#REF!</definedName>
    <definedName name="PERIOD" localSheetId="12">#REF!</definedName>
    <definedName name="PERIOD" localSheetId="2">#REF!</definedName>
    <definedName name="PERIOD" localSheetId="11">#REF!</definedName>
    <definedName name="PERIOD" localSheetId="0">#REF!</definedName>
    <definedName name="PERIOD" localSheetId="10">#REF!</definedName>
    <definedName name="PERIOD">#REF!</definedName>
    <definedName name="PG1BDR">#N/A</definedName>
    <definedName name="PG2_4BDR" localSheetId="12">#REF!</definedName>
    <definedName name="PG2_4BDR" localSheetId="2">#REF!</definedName>
    <definedName name="PG2_4BDR" localSheetId="11">#REF!</definedName>
    <definedName name="PG2_4BDR" localSheetId="0">#REF!</definedName>
    <definedName name="PG2_4BDR" localSheetId="10">#REF!</definedName>
    <definedName name="PG2_4BDR">#REF!</definedName>
    <definedName name="PG5_8BDR" localSheetId="12">#REF!</definedName>
    <definedName name="PG5_8BDR" localSheetId="2">#REF!</definedName>
    <definedName name="PG5_8BDR" localSheetId="11">#REF!</definedName>
    <definedName name="PG5_8BDR" localSheetId="0">#REF!</definedName>
    <definedName name="PG5_8BDR" localSheetId="10">#REF!</definedName>
    <definedName name="PG5_8BDR">#REF!</definedName>
    <definedName name="PivotData" localSheetId="12">#REF!</definedName>
    <definedName name="PivotData" localSheetId="2">#REF!</definedName>
    <definedName name="PivotData" localSheetId="11">#REF!</definedName>
    <definedName name="PivotData" localSheetId="0">#REF!</definedName>
    <definedName name="PivotData" localSheetId="10">#REF!</definedName>
    <definedName name="PivotData">#REF!</definedName>
    <definedName name="_xlnm.Print_Area" localSheetId="14">' Dental Medicine'!$A$1:$F$14</definedName>
    <definedName name="_xlnm.Print_Area" localSheetId="12">'Academic Metrics'!$A$1:$Y$8</definedName>
    <definedName name="_xlnm.Print_Area" localSheetId="13">Anesthesiology!$A$1:$G$20</definedName>
    <definedName name="_xlnm.Print_Area" localSheetId="28">'Cancer Center'!$A$1:$E$19</definedName>
    <definedName name="_xlnm.Print_Area" localSheetId="2">'Dept Combined LEM'!$B$1:$I$166</definedName>
    <definedName name="_xlnm.Print_Area" localSheetId="15">Dermatology!$A$1:$E$11</definedName>
    <definedName name="_xlnm.Print_Area" localSheetId="16">'Emergency Medicine'!$A$1:$F$20</definedName>
    <definedName name="_xlnm.Print_Area" localSheetId="17">'Familty &amp; Comm Medicine'!$A$1:$E$25</definedName>
    <definedName name="_xlnm.Print_Area" localSheetId="11">'Finance Metric by Entity_Dept'!$A$1:$X$27</definedName>
    <definedName name="_xlnm.Print_Area" localSheetId="4">'Growth by Clinic Detail'!$A$1:$D$167</definedName>
    <definedName name="_xlnm.Print_Area" localSheetId="3">'Growth Metric by Entity_Dept'!$A$1:$T$72</definedName>
    <definedName name="_xlnm.Print_Area" localSheetId="5">'Growth wRVU''s'!$A$1:$K$146</definedName>
    <definedName name="_xlnm.Print_Area" localSheetId="1">'HS Combined MedePM Plan'!$B$1:$I$79</definedName>
    <definedName name="_xlnm.Print_Area" localSheetId="18">'Internal Medicine'!$A$1:$E$25</definedName>
    <definedName name="_xlnm.Print_Area" localSheetId="19">Neurology!$A$1:$E$19</definedName>
    <definedName name="_xlnm.Print_Area" localSheetId="20">Neurosurgery!$A$1:$E$25</definedName>
    <definedName name="_xlnm.Print_Area" localSheetId="21">Ob_Gyn!$A$1:$F$23</definedName>
    <definedName name="_xlnm.Print_Area" localSheetId="22">Orthopaedics!$A$1:$E$23</definedName>
    <definedName name="_xlnm.Print_Area" localSheetId="23">Pathology!$A$1:$E$10</definedName>
    <definedName name="_xlnm.Print_Area" localSheetId="24">Pediatrics!$A$1:$F$21</definedName>
    <definedName name="_xlnm.Print_Area" localSheetId="10">'People Metric by Entity_Dept'!$A$1:$AN$33</definedName>
    <definedName name="_xlnm.Print_Area" localSheetId="25">Psychiatry!$A$1:$E$21</definedName>
    <definedName name="_xlnm.Print_Area" localSheetId="8">'Qual_Saf Metric by Entity_Dept'!$A$1:$BC$37</definedName>
    <definedName name="_xlnm.Print_Area" localSheetId="26">Radiology!$A$1:$E$16</definedName>
    <definedName name="_xlnm.Print_Area" localSheetId="9">'Service Metric by Entity_Dept'!$A$1:$H$35</definedName>
    <definedName name="_xlnm.Print_Area" localSheetId="7">'SRMC Surgery'!$A$1:$CB$181</definedName>
    <definedName name="_xlnm.Print_Area" localSheetId="27">Surgery!$A$1:$E$28</definedName>
    <definedName name="_xlnm.Print_Area">#REF!</definedName>
    <definedName name="Print_Area_MI" localSheetId="12">#REF!</definedName>
    <definedName name="Print_Area_MI" localSheetId="2">#REF!</definedName>
    <definedName name="Print_Area_MI" localSheetId="11">#REF!</definedName>
    <definedName name="Print_Area_MI" localSheetId="0">#REF!</definedName>
    <definedName name="Print_Area_MI" localSheetId="10">#REF!</definedName>
    <definedName name="Print_Area_MI">#REF!</definedName>
    <definedName name="_xlnm.Print_Titles" localSheetId="12">'Academic Metrics'!$2:$2</definedName>
    <definedName name="_xlnm.Print_Titles" localSheetId="2">'Dept Combined LEM'!$7:$7</definedName>
    <definedName name="_xlnm.Print_Titles" localSheetId="11">'Finance Metric by Entity_Dept'!$1:$1</definedName>
    <definedName name="_xlnm.Print_Titles" localSheetId="0">'FY 20 UNMHS Presentation'!$1:$7</definedName>
    <definedName name="_xlnm.Print_Titles" localSheetId="4">'Growth by Clinic Detail'!$1:$1</definedName>
    <definedName name="_xlnm.Print_Titles" localSheetId="3">'Growth Metric by Entity_Dept'!$1:$1</definedName>
    <definedName name="_xlnm.Print_Titles" localSheetId="5">'Growth wRVU''s'!$1:$4</definedName>
    <definedName name="_xlnm.Print_Titles" localSheetId="1">'HS Combined MedePM Plan'!$7:$7</definedName>
    <definedName name="_xlnm.Print_Titles" localSheetId="10">'People Metric by Entity_Dept'!$1:$1</definedName>
    <definedName name="_xlnm.Print_Titles" localSheetId="8">'Qual_Saf Metric by Entity_Dept'!$3:$3</definedName>
    <definedName name="_xlnm.Print_Titles" localSheetId="9">'Service Metric by Entity_Dept'!$1:$1</definedName>
    <definedName name="PxJam0" localSheetId="12">#REF!</definedName>
    <definedName name="PxJam0" localSheetId="2">#REF!</definedName>
    <definedName name="PxJam0" localSheetId="11">#REF!</definedName>
    <definedName name="PxJam0" localSheetId="0">#REF!</definedName>
    <definedName name="PxJam0" localSheetId="10">#REF!</definedName>
    <definedName name="PxJam0">#REF!</definedName>
    <definedName name="QRYCT1CT20601" localSheetId="12">#REF!</definedName>
    <definedName name="QRYCT1CT20601" localSheetId="2">#REF!</definedName>
    <definedName name="QRYCT1CT20601" localSheetId="11">#REF!</definedName>
    <definedName name="QRYCT1CT20601" localSheetId="0">#REF!</definedName>
    <definedName name="QRYCT1CT20601" localSheetId="10">#REF!</definedName>
    <definedName name="QRYCT1CT20601">#REF!</definedName>
    <definedName name="qryct1ct2apr01" localSheetId="12">#REF!</definedName>
    <definedName name="qryct1ct2apr01" localSheetId="2">#REF!</definedName>
    <definedName name="qryct1ct2apr01" localSheetId="11">#REF!</definedName>
    <definedName name="qryct1ct2apr01" localSheetId="0">#REF!</definedName>
    <definedName name="qryct1ct2apr01" localSheetId="10">#REF!</definedName>
    <definedName name="qryct1ct2apr01">#REF!</definedName>
    <definedName name="qryct1ct2dec2000" localSheetId="12">#REF!</definedName>
    <definedName name="qryct1ct2dec2000" localSheetId="2">#REF!</definedName>
    <definedName name="qryct1ct2dec2000" localSheetId="11">#REF!</definedName>
    <definedName name="qryct1ct2dec2000" localSheetId="0">#REF!</definedName>
    <definedName name="qryct1ct2dec2000" localSheetId="10">#REF!</definedName>
    <definedName name="qryct1ct2dec2000">#REF!</definedName>
    <definedName name="qryct1ct2may01" localSheetId="12">#REF!</definedName>
    <definedName name="qryct1ct2may01" localSheetId="2">#REF!</definedName>
    <definedName name="qryct1ct2may01" localSheetId="11">#REF!</definedName>
    <definedName name="qryct1ct2may01" localSheetId="0">#REF!</definedName>
    <definedName name="qryct1ct2may01" localSheetId="10">#REF!</definedName>
    <definedName name="qryct1ct2may01">#REF!</definedName>
    <definedName name="qryct1ct2nov" localSheetId="12">#REF!</definedName>
    <definedName name="qryct1ct2nov" localSheetId="2">#REF!</definedName>
    <definedName name="qryct1ct2nov" localSheetId="11">#REF!</definedName>
    <definedName name="qryct1ct2nov" localSheetId="0">#REF!</definedName>
    <definedName name="qryct1ct2nov" localSheetId="10">#REF!</definedName>
    <definedName name="qryct1ct2nov">#REF!</definedName>
    <definedName name="qryct1ct2oct2000" localSheetId="12">#REF!</definedName>
    <definedName name="qryct1ct2oct2000" localSheetId="2">#REF!</definedName>
    <definedName name="qryct1ct2oct2000" localSheetId="11">#REF!</definedName>
    <definedName name="qryct1ct2oct2000" localSheetId="0">#REF!</definedName>
    <definedName name="qryct1ct2oct2000" localSheetId="10">#REF!</definedName>
    <definedName name="qryct1ct2oct2000">#REF!</definedName>
    <definedName name="qryct1ct2sep" localSheetId="12">#REF!</definedName>
    <definedName name="qryct1ct2sep" localSheetId="2">#REF!</definedName>
    <definedName name="qryct1ct2sep" localSheetId="11">#REF!</definedName>
    <definedName name="qryct1ct2sep" localSheetId="0">#REF!</definedName>
    <definedName name="qryct1ct2sep" localSheetId="10">#REF!</definedName>
    <definedName name="qryct1ct2sep">#REF!</definedName>
    <definedName name="QRYCT30601" localSheetId="12">#REF!</definedName>
    <definedName name="QRYCT30601" localSheetId="2">#REF!</definedName>
    <definedName name="QRYCT30601" localSheetId="11">#REF!</definedName>
    <definedName name="QRYCT30601" localSheetId="0">#REF!</definedName>
    <definedName name="QRYCT30601" localSheetId="10">#REF!</definedName>
    <definedName name="QRYCT30601">#REF!</definedName>
    <definedName name="qryct3apr01" localSheetId="12">#REF!</definedName>
    <definedName name="qryct3apr01" localSheetId="2">#REF!</definedName>
    <definedName name="qryct3apr01" localSheetId="11">#REF!</definedName>
    <definedName name="qryct3apr01" localSheetId="0">#REF!</definedName>
    <definedName name="qryct3apr01" localSheetId="10">#REF!</definedName>
    <definedName name="qryct3apr01">#REF!</definedName>
    <definedName name="qryct3dec2000" localSheetId="12">#REF!</definedName>
    <definedName name="qryct3dec2000" localSheetId="2">#REF!</definedName>
    <definedName name="qryct3dec2000" localSheetId="11">#REF!</definedName>
    <definedName name="qryct3dec2000" localSheetId="0">#REF!</definedName>
    <definedName name="qryct3dec2000" localSheetId="10">#REF!</definedName>
    <definedName name="qryct3dec2000">#REF!</definedName>
    <definedName name="qryct3may01" localSheetId="12">#REF!</definedName>
    <definedName name="qryct3may01" localSheetId="2">#REF!</definedName>
    <definedName name="qryct3may01" localSheetId="11">#REF!</definedName>
    <definedName name="qryct3may01" localSheetId="0">#REF!</definedName>
    <definedName name="qryct3may01" localSheetId="10">#REF!</definedName>
    <definedName name="qryct3may01">#REF!</definedName>
    <definedName name="qryct3nov" localSheetId="12">#REF!</definedName>
    <definedName name="qryct3nov" localSheetId="2">#REF!</definedName>
    <definedName name="qryct3nov" localSheetId="11">#REF!</definedName>
    <definedName name="qryct3nov" localSheetId="0">#REF!</definedName>
    <definedName name="qryct3nov" localSheetId="10">#REF!</definedName>
    <definedName name="qryct3nov">#REF!</definedName>
    <definedName name="qryctlapr01" localSheetId="12">#REF!</definedName>
    <definedName name="qryctlapr01" localSheetId="2">#REF!</definedName>
    <definedName name="qryctlapr01" localSheetId="11">#REF!</definedName>
    <definedName name="qryctlapr01" localSheetId="0">#REF!</definedName>
    <definedName name="qryctlapr01" localSheetId="10">#REF!</definedName>
    <definedName name="qryctlapr01">#REF!</definedName>
    <definedName name="qryctldec2000" localSheetId="12">#REF!</definedName>
    <definedName name="qryctldec2000" localSheetId="2">#REF!</definedName>
    <definedName name="qryctldec2000" localSheetId="11">#REF!</definedName>
    <definedName name="qryctldec2000" localSheetId="0">#REF!</definedName>
    <definedName name="qryctldec2000" localSheetId="10">#REF!</definedName>
    <definedName name="qryctldec2000">#REF!</definedName>
    <definedName name="qryip0101" localSheetId="12">#REF!</definedName>
    <definedName name="qryip0101" localSheetId="2">#REF!</definedName>
    <definedName name="qryip0101" localSheetId="11">#REF!</definedName>
    <definedName name="qryip0101" localSheetId="0">#REF!</definedName>
    <definedName name="qryip0101" localSheetId="10">#REF!</definedName>
    <definedName name="qryip0101">#REF!</definedName>
    <definedName name="RENAL" localSheetId="12">#REF!</definedName>
    <definedName name="RENAL" localSheetId="2">#REF!</definedName>
    <definedName name="RENAL" localSheetId="11">#REF!</definedName>
    <definedName name="RENAL" localSheetId="0">#REF!</definedName>
    <definedName name="RENAL" localSheetId="10">#REF!</definedName>
    <definedName name="RENAL">#REF!</definedName>
    <definedName name="RESTBDR" localSheetId="12">#REF!</definedName>
    <definedName name="RESTBDR" localSheetId="2">#REF!</definedName>
    <definedName name="RESTBDR" localSheetId="11">#REF!</definedName>
    <definedName name="RESTBDR" localSheetId="0">#REF!</definedName>
    <definedName name="RESTBDR" localSheetId="10">#REF!</definedName>
    <definedName name="RESTBDR">#REF!</definedName>
    <definedName name="revdata" localSheetId="12">#REF!</definedName>
    <definedName name="revdata" localSheetId="2">#REF!</definedName>
    <definedName name="revdata" localSheetId="11">#REF!</definedName>
    <definedName name="revdata" localSheetId="0">#REF!</definedName>
    <definedName name="revdata" localSheetId="10">#REF!</definedName>
    <definedName name="revdata">#REF!</definedName>
    <definedName name="sep" localSheetId="12">#REF!</definedName>
    <definedName name="sep" localSheetId="2">#REF!</definedName>
    <definedName name="sep" localSheetId="11">#REF!</definedName>
    <definedName name="sep" localSheetId="0">#REF!</definedName>
    <definedName name="sep" localSheetId="10">#REF!</definedName>
    <definedName name="sep">#REF!</definedName>
    <definedName name="sept" localSheetId="12">#REF!</definedName>
    <definedName name="sept" localSheetId="2">#REF!</definedName>
    <definedName name="sept" localSheetId="11">#REF!</definedName>
    <definedName name="sept" localSheetId="0">#REF!</definedName>
    <definedName name="sept" localSheetId="10">#REF!</definedName>
    <definedName name="sept">#REF!</definedName>
    <definedName name="Sept_2" localSheetId="12">#REF!</definedName>
    <definedName name="Sept_2" localSheetId="2">#REF!</definedName>
    <definedName name="Sept_2" localSheetId="11">#REF!</definedName>
    <definedName name="Sept_2" localSheetId="0">#REF!</definedName>
    <definedName name="Sept_2" localSheetId="10">#REF!</definedName>
    <definedName name="Sept_2">#REF!</definedName>
    <definedName name="September" localSheetId="12">#REF!</definedName>
    <definedName name="September" localSheetId="2">#REF!</definedName>
    <definedName name="September" localSheetId="11">#REF!</definedName>
    <definedName name="September" localSheetId="0">#REF!</definedName>
    <definedName name="September" localSheetId="10">#REF!</definedName>
    <definedName name="September">#REF!</definedName>
    <definedName name="SortRange" localSheetId="12">Actual Rolling [7]Exp!$AI$2:$BB$9387</definedName>
    <definedName name="SortRange" localSheetId="2">Actual Rolling [7]Exp!$AI$2:$BB$9387</definedName>
    <definedName name="SortRange" localSheetId="11">Actual Rolling [7]Exp!$AI$2:$BB$9387</definedName>
    <definedName name="SortRange" localSheetId="0">Actual Rolling [7]Exp!$AI$2:$BB$9387</definedName>
    <definedName name="SortRange" localSheetId="10">Actual Rolling [7]Exp!$AI$2:$BB$9387</definedName>
    <definedName name="SortRange">Actual Rolling [7]Exp!$AI$2:$BB$9387</definedName>
    <definedName name="SRMC" localSheetId="12">#REF!</definedName>
    <definedName name="SRMC" localSheetId="2">#REF!</definedName>
    <definedName name="SRMC" localSheetId="11">#REF!</definedName>
    <definedName name="SRMC" localSheetId="0">#REF!</definedName>
    <definedName name="SRMC" localSheetId="10">#REF!</definedName>
    <definedName name="SRMC">#REF!</definedName>
    <definedName name="SRMCServiceLine">'[3]Provider Actuals'!$P$3:$P$1173</definedName>
    <definedName name="STATSS" localSheetId="12">#REF!</definedName>
    <definedName name="STATSS" localSheetId="2">#REF!</definedName>
    <definedName name="STATSS" localSheetId="11">#REF!</definedName>
    <definedName name="STATSS" localSheetId="0">#REF!</definedName>
    <definedName name="STATSS" localSheetId="10">#REF!</definedName>
    <definedName name="STATSS">#REF!</definedName>
    <definedName name="STBI4D2" localSheetId="12">#REF!</definedName>
    <definedName name="STBI4D2" localSheetId="2">#REF!</definedName>
    <definedName name="STBI4D2" localSheetId="11">#REF!</definedName>
    <definedName name="STBI4D2" localSheetId="0">#REF!</definedName>
    <definedName name="STBI4D2" localSheetId="10">#REF!</definedName>
    <definedName name="STBI4D2">#REF!</definedName>
    <definedName name="STBI4D8" localSheetId="12">#REF!</definedName>
    <definedName name="STBI4D8" localSheetId="2">#REF!</definedName>
    <definedName name="STBI4D8" localSheetId="11">#REF!</definedName>
    <definedName name="STBI4D8" localSheetId="0">#REF!</definedName>
    <definedName name="STBI4D8" localSheetId="10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sum" localSheetId="12">#REF!</definedName>
    <definedName name="sum" localSheetId="2">#REF!</definedName>
    <definedName name="sum" localSheetId="11">#REF!</definedName>
    <definedName name="sum" localSheetId="0">#REF!</definedName>
    <definedName name="sum" localSheetId="10">#REF!</definedName>
    <definedName name="sum">#REF!</definedName>
    <definedName name="SUMMARY" localSheetId="12">#REF!</definedName>
    <definedName name="SUMMARY" localSheetId="2">#REF!</definedName>
    <definedName name="SUMMARY" localSheetId="11">#REF!</definedName>
    <definedName name="SUMMARY" localSheetId="0">#REF!</definedName>
    <definedName name="SUMMARY" localSheetId="10">#REF!</definedName>
    <definedName name="SUMMARY">#REF!</definedName>
    <definedName name="TEST" localSheetId="12">#REF!</definedName>
    <definedName name="TEST" localSheetId="2">#REF!</definedName>
    <definedName name="TEST" localSheetId="11">#REF!</definedName>
    <definedName name="TEST" localSheetId="0">#REF!</definedName>
    <definedName name="TEST" localSheetId="10">#REF!</definedName>
    <definedName name="TEST">#REF!</definedName>
    <definedName name="Test_FY2000" localSheetId="12">#REF!</definedName>
    <definedName name="Test_FY2000" localSheetId="2">#REF!</definedName>
    <definedName name="Test_FY2000" localSheetId="11">#REF!</definedName>
    <definedName name="Test_FY2000" localSheetId="0">#REF!</definedName>
    <definedName name="Test_FY2000" localSheetId="10">#REF!</definedName>
    <definedName name="Test_FY2000">#REF!</definedName>
    <definedName name="Titles" localSheetId="12">Actual Rolling [7]Exp!$AI$1:$AI$1</definedName>
    <definedName name="Titles" localSheetId="2">Actual Rolling [7]Exp!$AI$1:$AI$1</definedName>
    <definedName name="Titles" localSheetId="11">Actual Rolling [7]Exp!$AI$1:$AI$1</definedName>
    <definedName name="Titles" localSheetId="0">Actual Rolling [7]Exp!$AI$1:$AI$1</definedName>
    <definedName name="Titles" localSheetId="10">Actual Rolling [7]Exp!$AI$1:$AI$1</definedName>
    <definedName name="Titles">Actual Rolling [7]Exp!$AI$1:$AI$1</definedName>
    <definedName name="TopSection" localSheetId="12">Actual Rolling [7]Exp!$AI$1:$BB$1</definedName>
    <definedName name="TopSection" localSheetId="2">Actual Rolling [7]Exp!$AI$1:$BB$1</definedName>
    <definedName name="TopSection" localSheetId="11">Actual Rolling [7]Exp!$AI$1:$BB$1</definedName>
    <definedName name="TopSection" localSheetId="0">Actual Rolling [7]Exp!$AI$1:$BB$1</definedName>
    <definedName name="TopSection" localSheetId="10">Actual Rolling [7]Exp!$AI$1:$BB$1</definedName>
    <definedName name="TopSection">Actual Rolling [7]Exp!$AI$1:$BB$1</definedName>
    <definedName name="UC">[2]input_rev3_sort!$J$16,[2]input_rev3_sort!$L$1:$L$65536</definedName>
    <definedName name="UPA" localSheetId="12">#REF!</definedName>
    <definedName name="UPA" localSheetId="2">#REF!</definedName>
    <definedName name="UPA" localSheetId="11">#REF!</definedName>
    <definedName name="UPA" localSheetId="0">#REF!</definedName>
    <definedName name="UPA" localSheetId="10">#REF!</definedName>
    <definedName name="UPA">#REF!</definedName>
    <definedName name="vnm">[9]input_date!$B$7</definedName>
    <definedName name="WRVU">'[3]Provider Actuals'!$L$3:$L$1173</definedName>
    <definedName name="year">[13]input_date!$B$2</definedName>
    <definedName name="YEAREND11">'[14]2011TBSummary'!$B$9:$H$850</definedName>
    <definedName name="YTD2012">'[14]2012YTD-Dec12'!$C$10:$E$599</definedName>
    <definedName name="Z_249AFF3E_C752_4961_A3C4_4F2BC95A26A2_.wvu.PrintArea" localSheetId="5" hidden="1">'Growth wRVU''s'!$A$1:$K$145</definedName>
    <definedName name="Z_249AFF3E_C752_4961_A3C4_4F2BC95A26A2_.wvu.PrintTitles" localSheetId="5" hidden="1">'Growth wRVU''s'!$1:$4</definedName>
    <definedName name="Z_45B021E1_C7B2_465E_ABF8_F03E7CFCAF37_.wvu.PrintArea" localSheetId="5" hidden="1">'Growth wRVU''s'!$A$1:$K$145</definedName>
    <definedName name="Z_45B021E1_C7B2_465E_ABF8_F03E7CFCAF37_.wvu.PrintTitles" localSheetId="5" hidden="1">'Growth wRVU''s'!$1:$4</definedName>
    <definedName name="Z_CE9669CA_840C_4DD1_82C3_0AA85CE2DEB9_.wvu.PrintArea" localSheetId="5" hidden="1">'Growth wRVU''s'!$A$1:$K$145</definedName>
    <definedName name="Z_CE9669CA_840C_4DD1_82C3_0AA85CE2DEB9_.wvu.PrintTitles" localSheetId="5" hidden="1">'Growth wRVU''s'!$1:$4</definedName>
  </definedNames>
  <calcPr calcId="162913"/>
</workbook>
</file>

<file path=xl/calcChain.xml><?xml version="1.0" encoding="utf-8"?>
<calcChain xmlns="http://schemas.openxmlformats.org/spreadsheetml/2006/main">
  <c r="I79" i="91" l="1"/>
  <c r="I78" i="91"/>
  <c r="I77" i="91"/>
  <c r="I76" i="91"/>
  <c r="I75" i="91"/>
  <c r="I74" i="91"/>
  <c r="I73" i="91"/>
  <c r="I72" i="91"/>
  <c r="I71" i="91"/>
  <c r="I70" i="91"/>
  <c r="I69" i="91"/>
  <c r="I68" i="91"/>
  <c r="I67" i="91"/>
  <c r="I66" i="91"/>
  <c r="I65" i="91"/>
  <c r="I64" i="91"/>
  <c r="I63" i="91"/>
  <c r="I62" i="91"/>
  <c r="I61" i="91"/>
  <c r="I60" i="91"/>
  <c r="I59" i="91"/>
  <c r="I58" i="91"/>
  <c r="I57" i="91"/>
  <c r="I56" i="91"/>
  <c r="X8" i="96"/>
  <c r="T8" i="96"/>
  <c r="P8" i="96"/>
  <c r="Y5" i="96"/>
  <c r="U5" i="96"/>
  <c r="Q5" i="96"/>
  <c r="K5" i="96"/>
  <c r="L5" i="96" s="1"/>
  <c r="G5" i="96"/>
  <c r="H5" i="96" s="1"/>
  <c r="D5" i="96"/>
  <c r="C5" i="96"/>
  <c r="E16" i="86" l="1"/>
  <c r="J53" i="64"/>
  <c r="L53" i="64" s="1"/>
  <c r="J50" i="64"/>
  <c r="L50" i="64" s="1"/>
  <c r="J42" i="64"/>
  <c r="L42" i="64" s="1"/>
  <c r="J35" i="64"/>
  <c r="L35" i="64" s="1"/>
  <c r="J31" i="64"/>
  <c r="L31" i="64" s="1"/>
  <c r="J27" i="64"/>
  <c r="J22" i="64"/>
  <c r="J18" i="64"/>
  <c r="L18" i="64" s="1"/>
  <c r="J60" i="64"/>
  <c r="J55" i="64"/>
  <c r="L55" i="64" s="1"/>
  <c r="J37" i="64"/>
  <c r="L37" i="64" s="1"/>
  <c r="J33" i="64"/>
  <c r="L33" i="64" s="1"/>
  <c r="J24" i="64"/>
  <c r="L24" i="64" s="1"/>
  <c r="J17" i="64"/>
  <c r="L17" i="64"/>
  <c r="J16" i="64"/>
  <c r="L16" i="64" s="1"/>
  <c r="J10" i="64"/>
  <c r="L10" i="64" s="1"/>
  <c r="J56" i="64"/>
  <c r="L56" i="64" s="1"/>
  <c r="J54" i="64"/>
  <c r="L54" i="64" s="1"/>
  <c r="J51" i="64"/>
  <c r="J47" i="64"/>
  <c r="L47" i="64" s="1"/>
  <c r="J46" i="64"/>
  <c r="J43" i="64"/>
  <c r="L43" i="64" s="1"/>
  <c r="J40" i="64"/>
  <c r="J36" i="64"/>
  <c r="J32" i="64"/>
  <c r="J28" i="64"/>
  <c r="L28" i="64" s="1"/>
  <c r="J26" i="64"/>
  <c r="L26" i="64" s="1"/>
  <c r="J23" i="64"/>
  <c r="L23" i="64" s="1"/>
  <c r="J19" i="64"/>
  <c r="L19" i="64" s="1"/>
  <c r="J11" i="64"/>
  <c r="L11" i="64"/>
  <c r="L60" i="64"/>
  <c r="L52" i="64"/>
  <c r="L51" i="64"/>
  <c r="L49" i="64"/>
  <c r="L48" i="64"/>
  <c r="L46" i="64"/>
  <c r="L44" i="64"/>
  <c r="L41" i="64"/>
  <c r="L40" i="64"/>
  <c r="L39" i="64"/>
  <c r="L38" i="64"/>
  <c r="L36" i="64"/>
  <c r="L34" i="64"/>
  <c r="L32" i="64"/>
  <c r="L30" i="64"/>
  <c r="L29" i="64"/>
  <c r="L27" i="64"/>
  <c r="L25" i="64"/>
  <c r="L21" i="64"/>
  <c r="L20" i="64"/>
  <c r="L14" i="64"/>
  <c r="L13" i="64"/>
  <c r="L12" i="64"/>
  <c r="K53" i="64"/>
  <c r="K50" i="64"/>
  <c r="K42" i="64"/>
  <c r="K35" i="64"/>
  <c r="K31" i="64"/>
  <c r="K27" i="64"/>
  <c r="K22" i="64"/>
  <c r="K18" i="64"/>
  <c r="K15" i="64"/>
  <c r="K57" i="64" s="1"/>
  <c r="K71" i="64" s="1"/>
  <c r="K10" i="64"/>
  <c r="J57" i="64" l="1"/>
  <c r="J71" i="64" s="1"/>
  <c r="L22" i="64"/>
  <c r="J15" i="64"/>
  <c r="L15" i="64" s="1"/>
  <c r="K6" i="64" l="1"/>
  <c r="H30" i="67" l="1"/>
  <c r="E78" i="93" l="1"/>
  <c r="I96" i="93"/>
  <c r="F96" i="93"/>
  <c r="D96" i="93"/>
  <c r="I28" i="93"/>
  <c r="H28" i="93"/>
  <c r="G28" i="93"/>
  <c r="E6" i="86"/>
  <c r="C7" i="64" l="1"/>
  <c r="C45" i="64"/>
  <c r="B45" i="64"/>
  <c r="D49" i="64"/>
  <c r="C49" i="64"/>
  <c r="B49" i="64"/>
  <c r="C139" i="65"/>
  <c r="B139" i="65"/>
  <c r="C26" i="67" l="1"/>
  <c r="C20" i="67"/>
  <c r="G41" i="91"/>
  <c r="G42" i="91" s="1"/>
  <c r="G43" i="91" s="1"/>
  <c r="G77" i="91" l="1"/>
  <c r="G78" i="91" s="1"/>
  <c r="G79" i="91" s="1"/>
  <c r="F77" i="91"/>
  <c r="F78" i="91" s="1"/>
  <c r="F79" i="91" s="1"/>
  <c r="E77" i="91"/>
  <c r="E78" i="91" s="1"/>
  <c r="E79" i="91" s="1"/>
  <c r="D77" i="91"/>
  <c r="D78" i="91" s="1"/>
  <c r="D79" i="91" s="1"/>
  <c r="B77" i="91"/>
  <c r="B78" i="91" s="1"/>
  <c r="B79" i="91" s="1"/>
  <c r="D74" i="91"/>
  <c r="D75" i="91" s="1"/>
  <c r="G73" i="91"/>
  <c r="G74" i="91" s="1"/>
  <c r="G75" i="91" s="1"/>
  <c r="F73" i="91"/>
  <c r="F74" i="91" s="1"/>
  <c r="F75" i="91" s="1"/>
  <c r="E73" i="91"/>
  <c r="E74" i="91" s="1"/>
  <c r="E75" i="91" s="1"/>
  <c r="D73" i="91"/>
  <c r="B73" i="91"/>
  <c r="B74" i="91" s="1"/>
  <c r="B75" i="91" s="1"/>
  <c r="G69" i="91"/>
  <c r="G70" i="91" s="1"/>
  <c r="G71" i="91" s="1"/>
  <c r="F69" i="91"/>
  <c r="F70" i="91" s="1"/>
  <c r="F71" i="91" s="1"/>
  <c r="E69" i="91"/>
  <c r="E70" i="91" s="1"/>
  <c r="E71" i="91" s="1"/>
  <c r="D69" i="91"/>
  <c r="D70" i="91" s="1"/>
  <c r="D71" i="91" s="1"/>
  <c r="B69" i="91"/>
  <c r="B70" i="91" s="1"/>
  <c r="B71" i="91" s="1"/>
  <c r="G65" i="91"/>
  <c r="G66" i="91" s="1"/>
  <c r="G67" i="91" s="1"/>
  <c r="F65" i="91"/>
  <c r="F66" i="91" s="1"/>
  <c r="F67" i="91" s="1"/>
  <c r="E65" i="91"/>
  <c r="E66" i="91" s="1"/>
  <c r="E67" i="91" s="1"/>
  <c r="D65" i="91"/>
  <c r="D66" i="91" s="1"/>
  <c r="D67" i="91" s="1"/>
  <c r="B65" i="91"/>
  <c r="B66" i="91" s="1"/>
  <c r="B67" i="91" s="1"/>
  <c r="G61" i="91"/>
  <c r="G62" i="91" s="1"/>
  <c r="G63" i="91" s="1"/>
  <c r="F61" i="91"/>
  <c r="F62" i="91" s="1"/>
  <c r="F63" i="91" s="1"/>
  <c r="E61" i="91"/>
  <c r="E62" i="91" s="1"/>
  <c r="E63" i="91" s="1"/>
  <c r="D61" i="91"/>
  <c r="D62" i="91" s="1"/>
  <c r="D63" i="91" s="1"/>
  <c r="B61" i="91"/>
  <c r="B62" i="91" s="1"/>
  <c r="B63" i="91" s="1"/>
  <c r="E57" i="91"/>
  <c r="E58" i="91" s="1"/>
  <c r="E59" i="91" s="1"/>
  <c r="B57" i="91"/>
  <c r="B58" i="91" s="1"/>
  <c r="B59" i="91" s="1"/>
  <c r="G57" i="91"/>
  <c r="G58" i="91" s="1"/>
  <c r="G59" i="91" s="1"/>
  <c r="F57" i="91"/>
  <c r="F58" i="91" s="1"/>
  <c r="F59" i="91" s="1"/>
  <c r="D57" i="91"/>
  <c r="D58" i="91" s="1"/>
  <c r="D59" i="91" s="1"/>
  <c r="I34" i="91"/>
  <c r="I35" i="91" s="1"/>
  <c r="I36" i="91" s="1"/>
  <c r="G34" i="91"/>
  <c r="G35" i="91" s="1"/>
  <c r="G36" i="91" s="1"/>
  <c r="F34" i="91"/>
  <c r="F35" i="91" s="1"/>
  <c r="F36" i="91" s="1"/>
  <c r="E34" i="91"/>
  <c r="E35" i="91" s="1"/>
  <c r="E36" i="91" s="1"/>
  <c r="D34" i="91"/>
  <c r="D35" i="91" s="1"/>
  <c r="D36" i="91" s="1"/>
  <c r="I32" i="91"/>
  <c r="G32" i="91"/>
  <c r="F32" i="91"/>
  <c r="E32" i="91"/>
  <c r="D32" i="91"/>
  <c r="BC24" i="66" l="1"/>
  <c r="BB24" i="66"/>
  <c r="AT24" i="66"/>
  <c r="AS24" i="66"/>
  <c r="AQ24" i="66"/>
  <c r="AP24" i="66"/>
  <c r="AN24" i="66"/>
  <c r="AM24" i="66"/>
  <c r="AK25" i="66"/>
  <c r="AJ25" i="66"/>
  <c r="X18" i="66"/>
  <c r="Y18" i="66"/>
  <c r="Y16" i="66"/>
  <c r="X16" i="66"/>
  <c r="V18" i="66"/>
  <c r="U18" i="66"/>
  <c r="V16" i="66"/>
  <c r="U16" i="66"/>
  <c r="S18" i="66"/>
  <c r="R18" i="66"/>
  <c r="S16" i="66"/>
  <c r="R16" i="66"/>
  <c r="BQ8" i="66"/>
  <c r="BQ9" i="66" s="1"/>
  <c r="BR7" i="66"/>
  <c r="BR8" i="66" s="1"/>
  <c r="BR9" i="66" s="1"/>
  <c r="BQ7" i="66"/>
  <c r="BO7" i="66"/>
  <c r="BO8" i="66" s="1"/>
  <c r="BO9" i="66" s="1"/>
  <c r="BN7" i="66"/>
  <c r="BN8" i="66" s="1"/>
  <c r="BN9" i="66" s="1"/>
  <c r="BL7" i="66"/>
  <c r="BL8" i="66" s="1"/>
  <c r="BL9" i="66" s="1"/>
  <c r="BK7" i="66"/>
  <c r="BK8" i="66" s="1"/>
  <c r="BK9" i="66" s="1"/>
  <c r="BI7" i="66"/>
  <c r="BI8" i="66" s="1"/>
  <c r="BI9" i="66" s="1"/>
  <c r="BH7" i="66"/>
  <c r="BH8" i="66" s="1"/>
  <c r="BH9" i="66" s="1"/>
  <c r="BF7" i="66"/>
  <c r="BF8" i="66" s="1"/>
  <c r="BF9" i="66" s="1"/>
  <c r="BE7" i="66"/>
  <c r="BE8" i="66" s="1"/>
  <c r="BE9" i="66" s="1"/>
  <c r="AZ7" i="66"/>
  <c r="AY7" i="66"/>
  <c r="AV7" i="66"/>
  <c r="AT7" i="66"/>
  <c r="AS7" i="66"/>
  <c r="AQ7" i="66"/>
  <c r="AP7" i="66"/>
  <c r="AN7" i="66"/>
  <c r="AM7" i="66"/>
  <c r="Y7" i="66"/>
  <c r="Y8" i="66" s="1"/>
  <c r="Y9" i="66" s="1"/>
  <c r="X7" i="66"/>
  <c r="X8" i="66" s="1"/>
  <c r="X9" i="66" s="1"/>
  <c r="K28" i="66"/>
  <c r="J21" i="66"/>
  <c r="K21" i="66"/>
  <c r="G23" i="93" l="1"/>
  <c r="G25" i="93" s="1"/>
  <c r="I47" i="93"/>
  <c r="H121" i="93" l="1"/>
  <c r="I108" i="93"/>
  <c r="H108" i="93"/>
  <c r="I77" i="93"/>
  <c r="H77" i="93"/>
  <c r="H91" i="93"/>
  <c r="I112" i="93"/>
  <c r="H112" i="93"/>
  <c r="G112" i="93"/>
  <c r="I91" i="93"/>
  <c r="G91" i="93"/>
  <c r="G30" i="93"/>
  <c r="H90" i="93"/>
  <c r="I120" i="93"/>
  <c r="H120" i="93"/>
  <c r="I107" i="93"/>
  <c r="H107" i="93"/>
  <c r="G75" i="93"/>
  <c r="I103" i="93"/>
  <c r="H103" i="93"/>
  <c r="G103" i="93"/>
  <c r="I97" i="93"/>
  <c r="G97" i="93"/>
  <c r="I119" i="93" l="1"/>
  <c r="H119" i="93"/>
  <c r="H106" i="93"/>
  <c r="H82" i="93"/>
  <c r="I82" i="93"/>
  <c r="I76" i="93"/>
  <c r="H76" i="93"/>
  <c r="G82" i="93"/>
  <c r="G76" i="93"/>
  <c r="I118" i="93"/>
  <c r="H118" i="93"/>
  <c r="I105" i="93"/>
  <c r="H105" i="93"/>
  <c r="H117" i="93"/>
  <c r="I104" i="93"/>
  <c r="H104" i="93"/>
  <c r="H89" i="93"/>
  <c r="I89" i="93"/>
  <c r="I94" i="93"/>
  <c r="G94" i="93"/>
  <c r="I111" i="93"/>
  <c r="H111" i="93"/>
  <c r="G111" i="93"/>
  <c r="I32" i="93"/>
  <c r="E12" i="87"/>
  <c r="H86" i="93"/>
  <c r="I38" i="93"/>
  <c r="H38" i="93"/>
  <c r="I37" i="93"/>
  <c r="H37" i="93"/>
  <c r="E9" i="74" l="1"/>
  <c r="E20" i="74"/>
  <c r="E8" i="74"/>
  <c r="H87" i="93"/>
  <c r="H115" i="93"/>
  <c r="H101" i="93"/>
  <c r="H110" i="93"/>
  <c r="H47" i="93"/>
  <c r="H44" i="93"/>
  <c r="H43" i="93"/>
  <c r="H116" i="93" l="1"/>
  <c r="I116" i="93"/>
  <c r="H102" i="93"/>
  <c r="G102" i="93"/>
  <c r="G93" i="93"/>
  <c r="H88" i="93"/>
  <c r="I146" i="93"/>
  <c r="G146" i="93"/>
  <c r="I88" i="93"/>
  <c r="G88" i="93"/>
  <c r="E16" i="85"/>
  <c r="J25" i="66" l="1"/>
  <c r="L25" i="66" s="1"/>
  <c r="J29" i="66"/>
  <c r="J28" i="66"/>
  <c r="J24" i="66"/>
  <c r="J22" i="66"/>
  <c r="J20" i="66"/>
  <c r="J19" i="66"/>
  <c r="J18" i="66"/>
  <c r="J16" i="66"/>
  <c r="J15" i="66"/>
  <c r="H8" i="66"/>
  <c r="F31" i="66"/>
  <c r="F29" i="66"/>
  <c r="H29" i="66" s="1"/>
  <c r="F27" i="66"/>
  <c r="H27" i="66" s="1"/>
  <c r="F28" i="66"/>
  <c r="F22" i="66"/>
  <c r="F21" i="66"/>
  <c r="F20" i="66"/>
  <c r="F18" i="66"/>
  <c r="F15" i="66"/>
  <c r="F7" i="66" l="1"/>
  <c r="G19" i="66"/>
  <c r="H19" i="66" s="1"/>
  <c r="K15" i="66"/>
  <c r="L15" i="66" s="1"/>
  <c r="G15" i="66"/>
  <c r="H15" i="66" l="1"/>
  <c r="I55" i="91"/>
  <c r="I54" i="91"/>
  <c r="I53" i="91"/>
  <c r="I52" i="91"/>
  <c r="I28" i="91"/>
  <c r="I29" i="91" s="1"/>
  <c r="I30" i="91" s="1"/>
  <c r="I25" i="91"/>
  <c r="I26" i="91" s="1"/>
  <c r="I45" i="91" l="1"/>
  <c r="H31" i="66" l="1"/>
  <c r="D7" i="66"/>
  <c r="H7" i="70" l="1"/>
  <c r="G7" i="70"/>
  <c r="C7" i="70"/>
  <c r="B7" i="70"/>
  <c r="M6" i="70"/>
  <c r="R6" i="70" s="1"/>
  <c r="L6" i="70"/>
  <c r="H6" i="70"/>
  <c r="G6" i="70"/>
  <c r="I6" i="70" s="1"/>
  <c r="J6" i="70" s="1"/>
  <c r="C6" i="70"/>
  <c r="B6" i="70"/>
  <c r="X5" i="70"/>
  <c r="R5" i="70"/>
  <c r="Q5" i="70"/>
  <c r="M5" i="70"/>
  <c r="L5" i="70"/>
  <c r="H5" i="70"/>
  <c r="G5" i="70"/>
  <c r="C5" i="70"/>
  <c r="B5" i="70"/>
  <c r="D5" i="70" s="1"/>
  <c r="E5" i="70" s="1"/>
  <c r="D6" i="70"/>
  <c r="E6" i="70" s="1"/>
  <c r="I7" i="70" l="1"/>
  <c r="J7" i="70" s="1"/>
  <c r="N7" i="70"/>
  <c r="O7" i="70" s="1"/>
  <c r="H4" i="70"/>
  <c r="R7" i="70"/>
  <c r="Q7" i="70"/>
  <c r="S7" i="70"/>
  <c r="T7" i="70" s="1"/>
  <c r="D7" i="70"/>
  <c r="E7" i="70" s="1"/>
  <c r="M4" i="70"/>
  <c r="N6" i="70"/>
  <c r="O6" i="70" s="1"/>
  <c r="Q6" i="70"/>
  <c r="G4" i="70"/>
  <c r="S6" i="70"/>
  <c r="T6" i="70" s="1"/>
  <c r="S5" i="70"/>
  <c r="T5" i="70" s="1"/>
  <c r="N5" i="70"/>
  <c r="O5" i="70" s="1"/>
  <c r="L4" i="70"/>
  <c r="I5" i="70"/>
  <c r="J5" i="70" s="1"/>
  <c r="Q10" i="70"/>
  <c r="R10" i="70"/>
  <c r="Q11" i="70"/>
  <c r="R11" i="70"/>
  <c r="Q12" i="70"/>
  <c r="R12" i="70"/>
  <c r="Q13" i="70"/>
  <c r="R13" i="70"/>
  <c r="Q14" i="70"/>
  <c r="R14" i="70"/>
  <c r="Q15" i="70"/>
  <c r="R15" i="70"/>
  <c r="Q16" i="70"/>
  <c r="R16" i="70"/>
  <c r="Q17" i="70"/>
  <c r="R17" i="70"/>
  <c r="Q18" i="70"/>
  <c r="R18" i="70"/>
  <c r="Q19" i="70"/>
  <c r="R19" i="70"/>
  <c r="Q20" i="70"/>
  <c r="R20" i="70"/>
  <c r="Q21" i="70"/>
  <c r="R21" i="70"/>
  <c r="Q22" i="70"/>
  <c r="R22" i="70"/>
  <c r="Q23" i="70"/>
  <c r="R23" i="70"/>
  <c r="Q24" i="70"/>
  <c r="R24" i="70"/>
  <c r="Q25" i="70"/>
  <c r="R25" i="70"/>
  <c r="BC7" i="66"/>
  <c r="BB7" i="66"/>
  <c r="AW7" i="66"/>
  <c r="AK7" i="66"/>
  <c r="AJ7" i="66"/>
  <c r="AH7" i="66"/>
  <c r="AH8" i="66" s="1"/>
  <c r="AH9" i="66" s="1"/>
  <c r="AG7" i="66"/>
  <c r="AG8" i="66" s="1"/>
  <c r="AG9" i="66" s="1"/>
  <c r="AE7" i="66"/>
  <c r="AE8" i="66" s="1"/>
  <c r="AE9" i="66" s="1"/>
  <c r="AD7" i="66"/>
  <c r="AD8" i="66" s="1"/>
  <c r="AD9" i="66" s="1"/>
  <c r="AB7" i="66"/>
  <c r="AB8" i="66" s="1"/>
  <c r="AB9" i="66" s="1"/>
  <c r="AA7" i="66"/>
  <c r="AA8" i="66" s="1"/>
  <c r="AA9" i="66" s="1"/>
  <c r="V7" i="66"/>
  <c r="V8" i="66" s="1"/>
  <c r="V9" i="66" s="1"/>
  <c r="U7" i="66"/>
  <c r="U8" i="66" s="1"/>
  <c r="U9" i="66" s="1"/>
  <c r="S7" i="66"/>
  <c r="S8" i="66" s="1"/>
  <c r="S9" i="66" s="1"/>
  <c r="R7" i="66"/>
  <c r="R8" i="66" s="1"/>
  <c r="R9" i="66" s="1"/>
  <c r="O6" i="66"/>
  <c r="K29" i="66"/>
  <c r="K24" i="66"/>
  <c r="K22" i="66"/>
  <c r="L22" i="66" s="1"/>
  <c r="K20" i="66"/>
  <c r="K19" i="66"/>
  <c r="K16" i="66"/>
  <c r="J8" i="66"/>
  <c r="L8" i="66" s="1"/>
  <c r="G28" i="66"/>
  <c r="G22" i="66"/>
  <c r="G21" i="66"/>
  <c r="G20" i="66"/>
  <c r="I4" i="70" l="1"/>
  <c r="J4" i="70" s="1"/>
  <c r="N4" i="70"/>
  <c r="O4" i="70" s="1"/>
  <c r="H20" i="66"/>
  <c r="L29" i="66"/>
  <c r="L28" i="66"/>
  <c r="L24" i="66"/>
  <c r="L21" i="66"/>
  <c r="L20" i="66"/>
  <c r="L19" i="66"/>
  <c r="L16" i="66"/>
  <c r="H28" i="66"/>
  <c r="H22" i="66"/>
  <c r="H21" i="66"/>
  <c r="G18" i="66"/>
  <c r="G7" i="66" s="1"/>
  <c r="H7" i="66" s="1"/>
  <c r="H18" i="66" l="1"/>
  <c r="G6" i="66"/>
  <c r="C29" i="66" l="1"/>
  <c r="C28" i="66"/>
  <c r="C24" i="66"/>
  <c r="C22" i="66"/>
  <c r="C16" i="66"/>
  <c r="C24" i="67" l="1"/>
  <c r="I101" i="93" s="1"/>
  <c r="C17" i="67"/>
  <c r="H32" i="67" l="1"/>
  <c r="F4" i="64" l="1"/>
  <c r="G28" i="67" l="1"/>
  <c r="C22" i="67"/>
  <c r="I106" i="93" s="1"/>
  <c r="G20" i="67"/>
  <c r="I121" i="93" s="1"/>
  <c r="I49" i="91"/>
  <c r="I50" i="91" s="1"/>
  <c r="I51" i="91" s="1"/>
  <c r="I46" i="91"/>
  <c r="I47" i="91" s="1"/>
  <c r="G6" i="67"/>
  <c r="G4" i="67"/>
  <c r="C4" i="67"/>
  <c r="O65" i="64" l="1"/>
  <c r="N65" i="64"/>
  <c r="O55" i="64"/>
  <c r="I40" i="93" s="1"/>
  <c r="N55" i="64"/>
  <c r="H40" i="93" s="1"/>
  <c r="O37" i="64"/>
  <c r="I42" i="93" s="1"/>
  <c r="N37" i="64"/>
  <c r="H42" i="93" s="1"/>
  <c r="O33" i="64"/>
  <c r="N33" i="64"/>
  <c r="O29" i="64"/>
  <c r="N29" i="64"/>
  <c r="O54" i="64"/>
  <c r="I39" i="93" s="1"/>
  <c r="N54" i="64"/>
  <c r="H39" i="93" s="1"/>
  <c r="O32" i="64"/>
  <c r="N32" i="64"/>
  <c r="O56" i="64"/>
  <c r="N56" i="64"/>
  <c r="P56" i="64" s="1"/>
  <c r="O11" i="64"/>
  <c r="O10" i="64" s="1"/>
  <c r="N11" i="64"/>
  <c r="O36" i="64"/>
  <c r="I41" i="93" s="1"/>
  <c r="N36" i="64"/>
  <c r="H41" i="93" s="1"/>
  <c r="O26" i="64"/>
  <c r="N26" i="64"/>
  <c r="O28" i="64"/>
  <c r="I45" i="93" s="1"/>
  <c r="N28" i="64"/>
  <c r="H45" i="93" s="1"/>
  <c r="O60" i="64"/>
  <c r="N60" i="64"/>
  <c r="O14" i="64"/>
  <c r="N14" i="64"/>
  <c r="O13" i="64"/>
  <c r="N13" i="64"/>
  <c r="AF480" i="95"/>
  <c r="S480" i="95"/>
  <c r="R480" i="95"/>
  <c r="K480" i="95"/>
  <c r="AR478" i="95"/>
  <c r="AQ478" i="95"/>
  <c r="AP478" i="95"/>
  <c r="AO478" i="95"/>
  <c r="AN478" i="95"/>
  <c r="AM478" i="95"/>
  <c r="AL478" i="95"/>
  <c r="AK478" i="95"/>
  <c r="AJ478" i="95"/>
  <c r="AI478" i="95"/>
  <c r="AH478" i="95"/>
  <c r="AG478" i="95"/>
  <c r="AD478" i="95"/>
  <c r="AC478" i="95"/>
  <c r="AB478" i="95"/>
  <c r="AA478" i="95"/>
  <c r="Z478" i="95"/>
  <c r="Y478" i="95"/>
  <c r="X478" i="95"/>
  <c r="W478" i="95"/>
  <c r="V478" i="95"/>
  <c r="U478" i="95"/>
  <c r="T478" i="95"/>
  <c r="S478" i="95"/>
  <c r="Q478" i="95"/>
  <c r="AU478" i="95" s="1"/>
  <c r="P478" i="95"/>
  <c r="O478" i="95"/>
  <c r="N478" i="95"/>
  <c r="M478" i="95"/>
  <c r="L478" i="95"/>
  <c r="K478" i="95"/>
  <c r="J478" i="95"/>
  <c r="I478" i="95"/>
  <c r="H478" i="95"/>
  <c r="G478" i="95"/>
  <c r="F478" i="95"/>
  <c r="E478" i="95"/>
  <c r="AV477" i="95"/>
  <c r="AW477" i="95" s="1"/>
  <c r="AU477" i="95"/>
  <c r="AS477" i="95"/>
  <c r="AX477" i="95" s="1"/>
  <c r="AY477" i="95" s="1"/>
  <c r="AE477" i="95"/>
  <c r="AU476" i="95"/>
  <c r="AS476" i="95"/>
  <c r="AX476" i="95" s="1"/>
  <c r="AE476" i="95"/>
  <c r="AV476" i="95" s="1"/>
  <c r="AW476" i="95" s="1"/>
  <c r="AU475" i="95"/>
  <c r="AS475" i="95"/>
  <c r="AX475" i="95" s="1"/>
  <c r="AY475" i="95" s="1"/>
  <c r="AE475" i="95"/>
  <c r="AV475" i="95" s="1"/>
  <c r="AW475" i="95" s="1"/>
  <c r="AY474" i="95"/>
  <c r="AU474" i="95"/>
  <c r="AS474" i="95"/>
  <c r="AX474" i="95" s="1"/>
  <c r="AE474" i="95"/>
  <c r="AV474" i="95" s="1"/>
  <c r="AW474" i="95" s="1"/>
  <c r="AX473" i="95"/>
  <c r="AY473" i="95" s="1"/>
  <c r="AV473" i="95"/>
  <c r="AW473" i="95" s="1"/>
  <c r="AU473" i="95"/>
  <c r="AS473" i="95"/>
  <c r="AE473" i="95"/>
  <c r="AU472" i="95"/>
  <c r="AS472" i="95"/>
  <c r="AX472" i="95" s="1"/>
  <c r="AE472" i="95"/>
  <c r="AV472" i="95" s="1"/>
  <c r="AW472" i="95" s="1"/>
  <c r="AV471" i="95"/>
  <c r="AW471" i="95" s="1"/>
  <c r="AU471" i="95"/>
  <c r="AS471" i="95"/>
  <c r="AX471" i="95" s="1"/>
  <c r="AY471" i="95" s="1"/>
  <c r="AE471" i="95"/>
  <c r="AU470" i="95"/>
  <c r="AS470" i="95"/>
  <c r="AX470" i="95" s="1"/>
  <c r="AY470" i="95" s="1"/>
  <c r="AE470" i="95"/>
  <c r="AV470" i="95" s="1"/>
  <c r="AV469" i="95"/>
  <c r="AW469" i="95" s="1"/>
  <c r="AU469" i="95"/>
  <c r="AS469" i="95"/>
  <c r="AX469" i="95" s="1"/>
  <c r="AY469" i="95" s="1"/>
  <c r="AE469" i="95"/>
  <c r="AU468" i="95"/>
  <c r="AS468" i="95"/>
  <c r="AX468" i="95" s="1"/>
  <c r="AE468" i="95"/>
  <c r="AV468" i="95" s="1"/>
  <c r="AW468" i="95" s="1"/>
  <c r="AU467" i="95"/>
  <c r="AS467" i="95"/>
  <c r="AX467" i="95" s="1"/>
  <c r="AE467" i="95"/>
  <c r="AR464" i="95"/>
  <c r="AQ464" i="95"/>
  <c r="AP464" i="95"/>
  <c r="AO464" i="95"/>
  <c r="AN464" i="95"/>
  <c r="AM464" i="95"/>
  <c r="AL464" i="95"/>
  <c r="AK464" i="95"/>
  <c r="AJ464" i="95"/>
  <c r="AI464" i="95"/>
  <c r="AH464" i="95"/>
  <c r="AG464" i="95"/>
  <c r="AD464" i="95"/>
  <c r="AC464" i="95"/>
  <c r="AB464" i="95"/>
  <c r="AA464" i="95"/>
  <c r="Z464" i="95"/>
  <c r="Y464" i="95"/>
  <c r="X464" i="95"/>
  <c r="W464" i="95"/>
  <c r="V464" i="95"/>
  <c r="U464" i="95"/>
  <c r="T464" i="95"/>
  <c r="S464" i="95"/>
  <c r="Q464" i="95"/>
  <c r="AU464" i="95" s="1"/>
  <c r="P464" i="95"/>
  <c r="O464" i="95"/>
  <c r="N464" i="95"/>
  <c r="M464" i="95"/>
  <c r="L464" i="95"/>
  <c r="K464" i="95"/>
  <c r="J464" i="95"/>
  <c r="I464" i="95"/>
  <c r="H464" i="95"/>
  <c r="G464" i="95"/>
  <c r="F464" i="95"/>
  <c r="E464" i="95"/>
  <c r="AU463" i="95"/>
  <c r="AS463" i="95"/>
  <c r="AX463" i="95" s="1"/>
  <c r="AE463" i="95"/>
  <c r="AV463" i="95" s="1"/>
  <c r="AV462" i="95"/>
  <c r="AW462" i="95" s="1"/>
  <c r="AU462" i="95"/>
  <c r="AS462" i="95"/>
  <c r="AX462" i="95" s="1"/>
  <c r="AY462" i="95" s="1"/>
  <c r="AE462" i="95"/>
  <c r="AU461" i="95"/>
  <c r="AS461" i="95"/>
  <c r="AX461" i="95" s="1"/>
  <c r="AY461" i="95" s="1"/>
  <c r="AE461" i="95"/>
  <c r="AV461" i="95" s="1"/>
  <c r="AW461" i="95" s="1"/>
  <c r="AU460" i="95"/>
  <c r="AS460" i="95"/>
  <c r="AX460" i="95" s="1"/>
  <c r="AE460" i="95"/>
  <c r="AV460" i="95" s="1"/>
  <c r="AW460" i="95" s="1"/>
  <c r="AU459" i="95"/>
  <c r="AS459" i="95"/>
  <c r="AX459" i="95" s="1"/>
  <c r="AE459" i="95"/>
  <c r="AV459" i="95" s="1"/>
  <c r="AW459" i="95" s="1"/>
  <c r="AX458" i="95"/>
  <c r="AY458" i="95" s="1"/>
  <c r="AV458" i="95"/>
  <c r="AW458" i="95" s="1"/>
  <c r="AU458" i="95"/>
  <c r="AS458" i="95"/>
  <c r="AE458" i="95"/>
  <c r="AW457" i="95"/>
  <c r="AU457" i="95"/>
  <c r="AS457" i="95"/>
  <c r="AX457" i="95" s="1"/>
  <c r="AY457" i="95" s="1"/>
  <c r="AE457" i="95"/>
  <c r="AV457" i="95" s="1"/>
  <c r="AV456" i="95"/>
  <c r="AW456" i="95" s="1"/>
  <c r="AU456" i="95"/>
  <c r="AS456" i="95"/>
  <c r="AX456" i="95" s="1"/>
  <c r="AY456" i="95" s="1"/>
  <c r="AE456" i="95"/>
  <c r="AX455" i="95"/>
  <c r="AU455" i="95"/>
  <c r="AS455" i="95"/>
  <c r="AE455" i="95"/>
  <c r="AV455" i="95" s="1"/>
  <c r="AV454" i="95"/>
  <c r="AW454" i="95" s="1"/>
  <c r="AU454" i="95"/>
  <c r="AS454" i="95"/>
  <c r="AX454" i="95" s="1"/>
  <c r="AY454" i="95" s="1"/>
  <c r="AE454" i="95"/>
  <c r="AX453" i="95"/>
  <c r="AU453" i="95"/>
  <c r="AS453" i="95"/>
  <c r="AE453" i="95"/>
  <c r="V448" i="95"/>
  <c r="V480" i="95" s="1"/>
  <c r="U448" i="95"/>
  <c r="U480" i="95" s="1"/>
  <c r="T448" i="95"/>
  <c r="T480" i="95" s="1"/>
  <c r="S448" i="95"/>
  <c r="P448" i="95"/>
  <c r="O448" i="95"/>
  <c r="O480" i="95" s="1"/>
  <c r="N448" i="95"/>
  <c r="N480" i="95" s="1"/>
  <c r="M448" i="95"/>
  <c r="M480" i="95" s="1"/>
  <c r="L448" i="95"/>
  <c r="L480" i="95" s="1"/>
  <c r="K448" i="95"/>
  <c r="J448" i="95"/>
  <c r="J480" i="95" s="1"/>
  <c r="I448" i="95"/>
  <c r="I480" i="95" s="1"/>
  <c r="H448" i="95"/>
  <c r="G448" i="95"/>
  <c r="G480" i="95" s="1"/>
  <c r="F448" i="95"/>
  <c r="F480" i="95" s="1"/>
  <c r="E448" i="95"/>
  <c r="E480" i="95" s="1"/>
  <c r="BC447" i="95"/>
  <c r="AU447" i="95"/>
  <c r="AR447" i="95"/>
  <c r="AQ447" i="95"/>
  <c r="AP447" i="95"/>
  <c r="AO447" i="95"/>
  <c r="AN447" i="95"/>
  <c r="AM447" i="95"/>
  <c r="AL447" i="95"/>
  <c r="AK447" i="95"/>
  <c r="AJ447" i="95"/>
  <c r="AI447" i="95"/>
  <c r="AH447" i="95"/>
  <c r="AG447" i="95"/>
  <c r="AD447" i="95"/>
  <c r="AC447" i="95"/>
  <c r="AB447" i="95"/>
  <c r="AA447" i="95"/>
  <c r="Z447" i="95"/>
  <c r="Y447" i="95"/>
  <c r="X447" i="95"/>
  <c r="W447" i="95"/>
  <c r="AE447" i="95" s="1"/>
  <c r="AV447" i="95" s="1"/>
  <c r="AW447" i="95" s="1"/>
  <c r="Q447" i="95"/>
  <c r="BC446" i="95"/>
  <c r="AU446" i="95"/>
  <c r="AS446" i="95"/>
  <c r="AX446" i="95" s="1"/>
  <c r="AE446" i="95"/>
  <c r="AV446" i="95" s="1"/>
  <c r="AW446" i="95" s="1"/>
  <c r="Q446" i="95"/>
  <c r="BC445" i="95"/>
  <c r="AV445" i="95"/>
  <c r="AS445" i="95"/>
  <c r="AX445" i="95" s="1"/>
  <c r="AY445" i="95" s="1"/>
  <c r="AE445" i="95"/>
  <c r="Q445" i="95"/>
  <c r="AU445" i="95" s="1"/>
  <c r="BC444" i="95"/>
  <c r="AU444" i="95"/>
  <c r="AS444" i="95"/>
  <c r="AX444" i="95" s="1"/>
  <c r="AE444" i="95"/>
  <c r="AV444" i="95" s="1"/>
  <c r="AW444" i="95" s="1"/>
  <c r="Q444" i="95"/>
  <c r="BC443" i="95"/>
  <c r="AV443" i="95"/>
  <c r="AS443" i="95"/>
  <c r="AX443" i="95" s="1"/>
  <c r="AY443" i="95" s="1"/>
  <c r="AE443" i="95"/>
  <c r="Q443" i="95"/>
  <c r="AU443" i="95" s="1"/>
  <c r="BC442" i="95"/>
  <c r="AV442" i="95"/>
  <c r="AW442" i="95" s="1"/>
  <c r="AS442" i="95"/>
  <c r="AX442" i="95" s="1"/>
  <c r="AE442" i="95"/>
  <c r="Q442" i="95"/>
  <c r="AU442" i="95" s="1"/>
  <c r="BC441" i="95"/>
  <c r="AU441" i="95"/>
  <c r="AS441" i="95"/>
  <c r="AX441" i="95" s="1"/>
  <c r="Y441" i="95"/>
  <c r="AE441" i="95" s="1"/>
  <c r="AV441" i="95" s="1"/>
  <c r="AW441" i="95" s="1"/>
  <c r="Q441" i="95"/>
  <c r="BC440" i="95"/>
  <c r="AU440" i="95"/>
  <c r="AS440" i="95"/>
  <c r="AX440" i="95" s="1"/>
  <c r="AY440" i="95" s="1"/>
  <c r="AE440" i="95"/>
  <c r="AV440" i="95" s="1"/>
  <c r="AW440" i="95" s="1"/>
  <c r="Q440" i="95"/>
  <c r="BC439" i="95"/>
  <c r="AX439" i="95"/>
  <c r="AU439" i="95"/>
  <c r="AS439" i="95"/>
  <c r="AE439" i="95"/>
  <c r="AV439" i="95" s="1"/>
  <c r="Q439" i="95"/>
  <c r="BC438" i="95"/>
  <c r="AR438" i="95"/>
  <c r="AQ438" i="95"/>
  <c r="AP438" i="95"/>
  <c r="AO438" i="95"/>
  <c r="AN438" i="95"/>
  <c r="AM438" i="95"/>
  <c r="AL438" i="95"/>
  <c r="AK438" i="95"/>
  <c r="AJ438" i="95"/>
  <c r="AI438" i="95"/>
  <c r="AH438" i="95"/>
  <c r="AG438" i="95"/>
  <c r="Z438" i="95"/>
  <c r="Q438" i="95"/>
  <c r="AU438" i="95" s="1"/>
  <c r="BC437" i="95"/>
  <c r="AW437" i="95"/>
  <c r="AU437" i="95"/>
  <c r="AS437" i="95"/>
  <c r="AX437" i="95" s="1"/>
  <c r="AY437" i="95" s="1"/>
  <c r="AE437" i="95"/>
  <c r="AV437" i="95" s="1"/>
  <c r="Q437" i="95"/>
  <c r="BC436" i="95"/>
  <c r="AX436" i="95"/>
  <c r="AY436" i="95" s="1"/>
  <c r="AV436" i="95"/>
  <c r="AS436" i="95"/>
  <c r="AE436" i="95"/>
  <c r="Q436" i="95"/>
  <c r="AU436" i="95" s="1"/>
  <c r="BC435" i="95"/>
  <c r="AA435" i="95" s="1"/>
  <c r="AX435" i="95"/>
  <c r="AS435" i="95"/>
  <c r="AD435" i="95"/>
  <c r="AC435" i="95"/>
  <c r="AB435" i="95"/>
  <c r="Z435" i="95"/>
  <c r="W435" i="95"/>
  <c r="Q435" i="95"/>
  <c r="AU435" i="95" s="1"/>
  <c r="BC434" i="95"/>
  <c r="AS434" i="95"/>
  <c r="AX434" i="95" s="1"/>
  <c r="AY434" i="95" s="1"/>
  <c r="AE434" i="95"/>
  <c r="AV434" i="95" s="1"/>
  <c r="Q434" i="95"/>
  <c r="AU434" i="95" s="1"/>
  <c r="BC433" i="95"/>
  <c r="AS433" i="95"/>
  <c r="AX433" i="95" s="1"/>
  <c r="AE433" i="95"/>
  <c r="AV433" i="95" s="1"/>
  <c r="Q433" i="95"/>
  <c r="AU433" i="95" s="1"/>
  <c r="BC432" i="95"/>
  <c r="AS432" i="95"/>
  <c r="AX432" i="95" s="1"/>
  <c r="AY432" i="95" s="1"/>
  <c r="AE432" i="95"/>
  <c r="AV432" i="95" s="1"/>
  <c r="Q432" i="95"/>
  <c r="AU432" i="95" s="1"/>
  <c r="BC431" i="95"/>
  <c r="AU431" i="95"/>
  <c r="AS431" i="95"/>
  <c r="AX431" i="95" s="1"/>
  <c r="AE431" i="95"/>
  <c r="AV431" i="95" s="1"/>
  <c r="AW431" i="95" s="1"/>
  <c r="Q431" i="95"/>
  <c r="BC430" i="95"/>
  <c r="AU430" i="95"/>
  <c r="AS430" i="95"/>
  <c r="AX430" i="95" s="1"/>
  <c r="AE430" i="95"/>
  <c r="AV430" i="95" s="1"/>
  <c r="AW430" i="95" s="1"/>
  <c r="Q430" i="95"/>
  <c r="BC429" i="95"/>
  <c r="AV429" i="95"/>
  <c r="AW429" i="95" s="1"/>
  <c r="AS429" i="95"/>
  <c r="AX429" i="95" s="1"/>
  <c r="AY429" i="95" s="1"/>
  <c r="AE429" i="95"/>
  <c r="Q429" i="95"/>
  <c r="AU429" i="95" s="1"/>
  <c r="BC428" i="95"/>
  <c r="AU428" i="95"/>
  <c r="AS428" i="95"/>
  <c r="AX428" i="95" s="1"/>
  <c r="AY428" i="95" s="1"/>
  <c r="AE428" i="95"/>
  <c r="AV428" i="95" s="1"/>
  <c r="AW428" i="95" s="1"/>
  <c r="Q428" i="95"/>
  <c r="BC427" i="95"/>
  <c r="AV427" i="95"/>
  <c r="AW427" i="95" s="1"/>
  <c r="AS427" i="95"/>
  <c r="AX427" i="95" s="1"/>
  <c r="AE427" i="95"/>
  <c r="Q427" i="95"/>
  <c r="AU427" i="95" s="1"/>
  <c r="BC426" i="95"/>
  <c r="AX426" i="95"/>
  <c r="AW426" i="95"/>
  <c r="AU426" i="95"/>
  <c r="AS426" i="95"/>
  <c r="AE426" i="95"/>
  <c r="AV426" i="95" s="1"/>
  <c r="AY426" i="95" s="1"/>
  <c r="Q426" i="95"/>
  <c r="BC425" i="95"/>
  <c r="AX425" i="95"/>
  <c r="AU425" i="95"/>
  <c r="AS425" i="95"/>
  <c r="AE425" i="95"/>
  <c r="AV425" i="95" s="1"/>
  <c r="AW425" i="95" s="1"/>
  <c r="Q425" i="95"/>
  <c r="BC424" i="95"/>
  <c r="AX424" i="95"/>
  <c r="AY424" i="95" s="1"/>
  <c r="AV424" i="95"/>
  <c r="AW424" i="95" s="1"/>
  <c r="AS424" i="95"/>
  <c r="AE424" i="95"/>
  <c r="Q424" i="95"/>
  <c r="AU424" i="95" s="1"/>
  <c r="BC423" i="95"/>
  <c r="AA423" i="95" s="1"/>
  <c r="AA438" i="95" s="1"/>
  <c r="AX423" i="95"/>
  <c r="AS423" i="95"/>
  <c r="AD423" i="95"/>
  <c r="AD438" i="95" s="1"/>
  <c r="AC423" i="95"/>
  <c r="AC438" i="95" s="1"/>
  <c r="AB423" i="95"/>
  <c r="AB438" i="95" s="1"/>
  <c r="Z423" i="95"/>
  <c r="Q423" i="95"/>
  <c r="AU423" i="95" s="1"/>
  <c r="BC422" i="95"/>
  <c r="AY422" i="95"/>
  <c r="AV422" i="95"/>
  <c r="AS422" i="95"/>
  <c r="AX422" i="95" s="1"/>
  <c r="AE422" i="95"/>
  <c r="Q422" i="95"/>
  <c r="AU422" i="95" s="1"/>
  <c r="BC421" i="95"/>
  <c r="AS421" i="95"/>
  <c r="AX421" i="95" s="1"/>
  <c r="AY421" i="95" s="1"/>
  <c r="AE421" i="95"/>
  <c r="AV421" i="95" s="1"/>
  <c r="Q421" i="95"/>
  <c r="AU421" i="95" s="1"/>
  <c r="BC420" i="95"/>
  <c r="AX420" i="95"/>
  <c r="AY420" i="95" s="1"/>
  <c r="AE420" i="95"/>
  <c r="AV420" i="95" s="1"/>
  <c r="Q420" i="95"/>
  <c r="AU420" i="95" s="1"/>
  <c r="BC419" i="95"/>
  <c r="AR419" i="95"/>
  <c r="AQ419" i="95"/>
  <c r="AP419" i="95"/>
  <c r="AO419" i="95"/>
  <c r="AN419" i="95"/>
  <c r="AM419" i="95"/>
  <c r="AL419" i="95"/>
  <c r="AK419" i="95"/>
  <c r="AJ419" i="95"/>
  <c r="AI419" i="95"/>
  <c r="AH419" i="95"/>
  <c r="AG419" i="95"/>
  <c r="AD419" i="95"/>
  <c r="AC419" i="95"/>
  <c r="AB419" i="95"/>
  <c r="AA419" i="95"/>
  <c r="Z419" i="95"/>
  <c r="Y419" i="95"/>
  <c r="X419" i="95"/>
  <c r="W419" i="95"/>
  <c r="AE419" i="95" s="1"/>
  <c r="AV419" i="95" s="1"/>
  <c r="AW419" i="95" s="1"/>
  <c r="Q419" i="95"/>
  <c r="AU419" i="95" s="1"/>
  <c r="BC418" i="95"/>
  <c r="AV418" i="95"/>
  <c r="AS418" i="95"/>
  <c r="AX418" i="95" s="1"/>
  <c r="AY418" i="95" s="1"/>
  <c r="AE418" i="95"/>
  <c r="Q418" i="95"/>
  <c r="AU418" i="95" s="1"/>
  <c r="BC417" i="95"/>
  <c r="AX417" i="95"/>
  <c r="AU417" i="95"/>
  <c r="AS417" i="95"/>
  <c r="AE417" i="95"/>
  <c r="AV417" i="95" s="1"/>
  <c r="AY417" i="95" s="1"/>
  <c r="Q417" i="95"/>
  <c r="BC416" i="95"/>
  <c r="AX416" i="95"/>
  <c r="AY416" i="95" s="1"/>
  <c r="AV416" i="95"/>
  <c r="AW416" i="95" s="1"/>
  <c r="AS416" i="95"/>
  <c r="AE416" i="95"/>
  <c r="Q416" i="95"/>
  <c r="AU416" i="95" s="1"/>
  <c r="BC415" i="95"/>
  <c r="AS415" i="95"/>
  <c r="AX415" i="95" s="1"/>
  <c r="AY415" i="95" s="1"/>
  <c r="AE415" i="95"/>
  <c r="AV415" i="95" s="1"/>
  <c r="Q415" i="95"/>
  <c r="AU415" i="95" s="1"/>
  <c r="BC414" i="95"/>
  <c r="AS414" i="95"/>
  <c r="AX414" i="95" s="1"/>
  <c r="AY414" i="95" s="1"/>
  <c r="AE414" i="95"/>
  <c r="AV414" i="95" s="1"/>
  <c r="Q414" i="95"/>
  <c r="AU414" i="95" s="1"/>
  <c r="BC413" i="95"/>
  <c r="AU413" i="95"/>
  <c r="AS413" i="95"/>
  <c r="AX413" i="95" s="1"/>
  <c r="AE413" i="95"/>
  <c r="AV413" i="95" s="1"/>
  <c r="AW413" i="95" s="1"/>
  <c r="Q413" i="95"/>
  <c r="BC412" i="95"/>
  <c r="AV412" i="95"/>
  <c r="AS412" i="95"/>
  <c r="AX412" i="95" s="1"/>
  <c r="AY412" i="95" s="1"/>
  <c r="AE412" i="95"/>
  <c r="Q412" i="95"/>
  <c r="AU412" i="95" s="1"/>
  <c r="BC411" i="95"/>
  <c r="AX411" i="95"/>
  <c r="AU411" i="95"/>
  <c r="AS411" i="95"/>
  <c r="AE411" i="95"/>
  <c r="AV411" i="95" s="1"/>
  <c r="Q411" i="95"/>
  <c r="BC410" i="95"/>
  <c r="AR410" i="95"/>
  <c r="AQ410" i="95"/>
  <c r="AP410" i="95"/>
  <c r="AO410" i="95"/>
  <c r="AN410" i="95"/>
  <c r="AM410" i="95"/>
  <c r="AL410" i="95"/>
  <c r="AK410" i="95"/>
  <c r="AJ410" i="95"/>
  <c r="AI410" i="95"/>
  <c r="AH410" i="95"/>
  <c r="AG410" i="95"/>
  <c r="AD410" i="95"/>
  <c r="AC410" i="95"/>
  <c r="AB410" i="95"/>
  <c r="AA410" i="95"/>
  <c r="Z410" i="95"/>
  <c r="Y410" i="95"/>
  <c r="X410" i="95"/>
  <c r="W410" i="95"/>
  <c r="AE410" i="95" s="1"/>
  <c r="AV410" i="95" s="1"/>
  <c r="AW410" i="95" s="1"/>
  <c r="Q410" i="95"/>
  <c r="AU410" i="95" s="1"/>
  <c r="BC409" i="95"/>
  <c r="AU409" i="95"/>
  <c r="AS409" i="95"/>
  <c r="AX409" i="95" s="1"/>
  <c r="AY409" i="95" s="1"/>
  <c r="AE409" i="95"/>
  <c r="AV409" i="95" s="1"/>
  <c r="AW409" i="95" s="1"/>
  <c r="Q409" i="95"/>
  <c r="BC408" i="95"/>
  <c r="AV408" i="95"/>
  <c r="AW408" i="95" s="1"/>
  <c r="AS408" i="95"/>
  <c r="AX408" i="95" s="1"/>
  <c r="AY408" i="95" s="1"/>
  <c r="AE408" i="95"/>
  <c r="Q408" i="95"/>
  <c r="AU408" i="95" s="1"/>
  <c r="BC407" i="95"/>
  <c r="AU407" i="95"/>
  <c r="AS407" i="95"/>
  <c r="AX407" i="95" s="1"/>
  <c r="AY407" i="95" s="1"/>
  <c r="AE407" i="95"/>
  <c r="AV407" i="95" s="1"/>
  <c r="AW407" i="95" s="1"/>
  <c r="Q407" i="95"/>
  <c r="BC406" i="95"/>
  <c r="AV406" i="95"/>
  <c r="AW406" i="95" s="1"/>
  <c r="AS406" i="95"/>
  <c r="AX406" i="95" s="1"/>
  <c r="AE406" i="95"/>
  <c r="Q406" i="95"/>
  <c r="AU406" i="95" s="1"/>
  <c r="BC405" i="95"/>
  <c r="AV405" i="95"/>
  <c r="AW405" i="95" s="1"/>
  <c r="AS405" i="95"/>
  <c r="AS410" i="95" s="1"/>
  <c r="AX410" i="95" s="1"/>
  <c r="Q405" i="95"/>
  <c r="AU405" i="95" s="1"/>
  <c r="BC404" i="95"/>
  <c r="AU404" i="95"/>
  <c r="AR404" i="95"/>
  <c r="AQ404" i="95"/>
  <c r="AP404" i="95"/>
  <c r="AO404" i="95"/>
  <c r="AN404" i="95"/>
  <c r="AM404" i="95"/>
  <c r="AL404" i="95"/>
  <c r="AK404" i="95"/>
  <c r="AJ404" i="95"/>
  <c r="AI404" i="95"/>
  <c r="AH404" i="95"/>
  <c r="AG404" i="95"/>
  <c r="AD404" i="95"/>
  <c r="AC404" i="95"/>
  <c r="AB404" i="95"/>
  <c r="AA404" i="95"/>
  <c r="Z404" i="95"/>
  <c r="Y404" i="95"/>
  <c r="X404" i="95"/>
  <c r="W404" i="95"/>
  <c r="AE404" i="95" s="1"/>
  <c r="AV404" i="95" s="1"/>
  <c r="AW404" i="95" s="1"/>
  <c r="Q404" i="95"/>
  <c r="BC403" i="95"/>
  <c r="AS403" i="95"/>
  <c r="AX403" i="95" s="1"/>
  <c r="AE403" i="95"/>
  <c r="AV403" i="95" s="1"/>
  <c r="Q403" i="95"/>
  <c r="AU403" i="95" s="1"/>
  <c r="BC402" i="95"/>
  <c r="AS402" i="95"/>
  <c r="AX402" i="95" s="1"/>
  <c r="AE402" i="95"/>
  <c r="AV402" i="95" s="1"/>
  <c r="Q402" i="95"/>
  <c r="AU402" i="95" s="1"/>
  <c r="BC401" i="95"/>
  <c r="AS401" i="95"/>
  <c r="AX401" i="95" s="1"/>
  <c r="AE401" i="95"/>
  <c r="AV401" i="95" s="1"/>
  <c r="Q401" i="95"/>
  <c r="AU401" i="95" s="1"/>
  <c r="BC400" i="95"/>
  <c r="AS400" i="95"/>
  <c r="AX400" i="95" s="1"/>
  <c r="AE400" i="95"/>
  <c r="AV400" i="95" s="1"/>
  <c r="Q400" i="95"/>
  <c r="AU400" i="95" s="1"/>
  <c r="BC399" i="95"/>
  <c r="AS399" i="95"/>
  <c r="AS404" i="95" s="1"/>
  <c r="AX404" i="95" s="1"/>
  <c r="AE399" i="95"/>
  <c r="AV399" i="95" s="1"/>
  <c r="Q399" i="95"/>
  <c r="AU399" i="95" s="1"/>
  <c r="BC398" i="95"/>
  <c r="AR398" i="95"/>
  <c r="AQ398" i="95"/>
  <c r="AP398" i="95"/>
  <c r="AO398" i="95"/>
  <c r="AN398" i="95"/>
  <c r="AM398" i="95"/>
  <c r="AL398" i="95"/>
  <c r="AK398" i="95"/>
  <c r="AJ398" i="95"/>
  <c r="AI398" i="95"/>
  <c r="AH398" i="95"/>
  <c r="AG398" i="95"/>
  <c r="AD398" i="95"/>
  <c r="AC398" i="95"/>
  <c r="AB398" i="95"/>
  <c r="AA398" i="95"/>
  <c r="Z398" i="95"/>
  <c r="Y398" i="95"/>
  <c r="X398" i="95"/>
  <c r="W398" i="95"/>
  <c r="Q398" i="95"/>
  <c r="AU398" i="95" s="1"/>
  <c r="BC397" i="95"/>
  <c r="AX397" i="95"/>
  <c r="AU397" i="95"/>
  <c r="AS397" i="95"/>
  <c r="AE397" i="95"/>
  <c r="AV397" i="95" s="1"/>
  <c r="AY397" i="95" s="1"/>
  <c r="Q397" i="95"/>
  <c r="BC396" i="95"/>
  <c r="AX396" i="95"/>
  <c r="AY396" i="95" s="1"/>
  <c r="AV396" i="95"/>
  <c r="AS396" i="95"/>
  <c r="AE396" i="95"/>
  <c r="Q396" i="95"/>
  <c r="AU396" i="95" s="1"/>
  <c r="BC395" i="95"/>
  <c r="AS395" i="95"/>
  <c r="AX395" i="95" s="1"/>
  <c r="AY395" i="95" s="1"/>
  <c r="AE395" i="95"/>
  <c r="AV395" i="95" s="1"/>
  <c r="Q395" i="95"/>
  <c r="AU395" i="95" s="1"/>
  <c r="BC394" i="95"/>
  <c r="AS394" i="95"/>
  <c r="AX394" i="95" s="1"/>
  <c r="AE394" i="95"/>
  <c r="AV394" i="95" s="1"/>
  <c r="Q394" i="95"/>
  <c r="AU394" i="95" s="1"/>
  <c r="BC393" i="95"/>
  <c r="AS393" i="95"/>
  <c r="AX393" i="95" s="1"/>
  <c r="AY393" i="95" s="1"/>
  <c r="AE393" i="95"/>
  <c r="AV393" i="95" s="1"/>
  <c r="Q393" i="95"/>
  <c r="AU393" i="95" s="1"/>
  <c r="BC392" i="95"/>
  <c r="AU392" i="95"/>
  <c r="AS392" i="95"/>
  <c r="AX392" i="95" s="1"/>
  <c r="AE392" i="95"/>
  <c r="AV392" i="95" s="1"/>
  <c r="AW392" i="95" s="1"/>
  <c r="Q392" i="95"/>
  <c r="BC391" i="95"/>
  <c r="AV391" i="95"/>
  <c r="AS391" i="95"/>
  <c r="AX391" i="95" s="1"/>
  <c r="AY391" i="95" s="1"/>
  <c r="AE391" i="95"/>
  <c r="Q391" i="95"/>
  <c r="AU391" i="95" s="1"/>
  <c r="BC390" i="95"/>
  <c r="AU390" i="95"/>
  <c r="AS390" i="95"/>
  <c r="AX390" i="95" s="1"/>
  <c r="AE390" i="95"/>
  <c r="AV390" i="95" s="1"/>
  <c r="AW390" i="95" s="1"/>
  <c r="Q390" i="95"/>
  <c r="BC389" i="95"/>
  <c r="AV389" i="95"/>
  <c r="AS389" i="95"/>
  <c r="AX389" i="95" s="1"/>
  <c r="AY389" i="95" s="1"/>
  <c r="AE389" i="95"/>
  <c r="Q389" i="95"/>
  <c r="AU389" i="95" s="1"/>
  <c r="BC388" i="95"/>
  <c r="AV388" i="95"/>
  <c r="AW388" i="95" s="1"/>
  <c r="AS388" i="95"/>
  <c r="AX388" i="95" s="1"/>
  <c r="AE388" i="95"/>
  <c r="Q388" i="95"/>
  <c r="AU388" i="95" s="1"/>
  <c r="BC387" i="95"/>
  <c r="AV387" i="95"/>
  <c r="AS387" i="95"/>
  <c r="AX387" i="95" s="1"/>
  <c r="AE387" i="95"/>
  <c r="Q387" i="95"/>
  <c r="AU387" i="95" s="1"/>
  <c r="BC386" i="95"/>
  <c r="AV386" i="95"/>
  <c r="AS386" i="95"/>
  <c r="AX386" i="95" s="1"/>
  <c r="AE386" i="95"/>
  <c r="Q386" i="95"/>
  <c r="AU386" i="95" s="1"/>
  <c r="BC385" i="95"/>
  <c r="AV385" i="95"/>
  <c r="AS385" i="95"/>
  <c r="AX385" i="95" s="1"/>
  <c r="AY385" i="95" s="1"/>
  <c r="AE385" i="95"/>
  <c r="Q385" i="95"/>
  <c r="AU385" i="95" s="1"/>
  <c r="BC384" i="95"/>
  <c r="AV384" i="95"/>
  <c r="AS384" i="95"/>
  <c r="AS398" i="95" s="1"/>
  <c r="AX398" i="95" s="1"/>
  <c r="AE384" i="95"/>
  <c r="Q384" i="95"/>
  <c r="AU384" i="95" s="1"/>
  <c r="BC383" i="95"/>
  <c r="AU383" i="95"/>
  <c r="AR383" i="95"/>
  <c r="AQ383" i="95"/>
  <c r="AP383" i="95"/>
  <c r="AO383" i="95"/>
  <c r="AN383" i="95"/>
  <c r="AM383" i="95"/>
  <c r="AL383" i="95"/>
  <c r="AK383" i="95"/>
  <c r="AJ383" i="95"/>
  <c r="AI383" i="95"/>
  <c r="AH383" i="95"/>
  <c r="AG383" i="95"/>
  <c r="AD383" i="95"/>
  <c r="AC383" i="95"/>
  <c r="AB383" i="95"/>
  <c r="AA383" i="95"/>
  <c r="Z383" i="95"/>
  <c r="Y383" i="95"/>
  <c r="X383" i="95"/>
  <c r="W383" i="95"/>
  <c r="AE383" i="95" s="1"/>
  <c r="AV383" i="95" s="1"/>
  <c r="AW383" i="95" s="1"/>
  <c r="Q383" i="95"/>
  <c r="BC382" i="95"/>
  <c r="AX382" i="95"/>
  <c r="AU382" i="95"/>
  <c r="AS382" i="95"/>
  <c r="AE382" i="95"/>
  <c r="AV382" i="95" s="1"/>
  <c r="AY382" i="95" s="1"/>
  <c r="Q382" i="95"/>
  <c r="BC381" i="95"/>
  <c r="AU381" i="95"/>
  <c r="AS381" i="95"/>
  <c r="AX381" i="95" s="1"/>
  <c r="AE381" i="95"/>
  <c r="AV381" i="95" s="1"/>
  <c r="Q381" i="95"/>
  <c r="BC380" i="95"/>
  <c r="AV380" i="95"/>
  <c r="AS380" i="95"/>
  <c r="AX380" i="95" s="1"/>
  <c r="AY380" i="95" s="1"/>
  <c r="AE380" i="95"/>
  <c r="Q380" i="95"/>
  <c r="AU380" i="95" s="1"/>
  <c r="AW380" i="95" s="1"/>
  <c r="BC379" i="95"/>
  <c r="AX379" i="95"/>
  <c r="AU379" i="95"/>
  <c r="AS379" i="95"/>
  <c r="AE379" i="95"/>
  <c r="AV379" i="95" s="1"/>
  <c r="AW379" i="95" s="1"/>
  <c r="Q379" i="95"/>
  <c r="BC378" i="95"/>
  <c r="AV378" i="95"/>
  <c r="AW378" i="95" s="1"/>
  <c r="AS378" i="95"/>
  <c r="AX378" i="95" s="1"/>
  <c r="AE378" i="95"/>
  <c r="Q378" i="95"/>
  <c r="AU378" i="95" s="1"/>
  <c r="BC377" i="95"/>
  <c r="AU377" i="95"/>
  <c r="AS377" i="95"/>
  <c r="AE377" i="95"/>
  <c r="AV377" i="95" s="1"/>
  <c r="AW377" i="95" s="1"/>
  <c r="Q377" i="95"/>
  <c r="BC376" i="95"/>
  <c r="AX376" i="95"/>
  <c r="AU376" i="95"/>
  <c r="AE376" i="95"/>
  <c r="AV376" i="95" s="1"/>
  <c r="Q376" i="95"/>
  <c r="BC375" i="95"/>
  <c r="AU375" i="95"/>
  <c r="AR375" i="95"/>
  <c r="AQ375" i="95"/>
  <c r="AP375" i="95"/>
  <c r="AO375" i="95"/>
  <c r="AN375" i="95"/>
  <c r="AM375" i="95"/>
  <c r="AL375" i="95"/>
  <c r="AK375" i="95"/>
  <c r="AJ375" i="95"/>
  <c r="AI375" i="95"/>
  <c r="AH375" i="95"/>
  <c r="AG375" i="95"/>
  <c r="Q375" i="95"/>
  <c r="BC374" i="95"/>
  <c r="AU374" i="95"/>
  <c r="AS374" i="95"/>
  <c r="AX374" i="95" s="1"/>
  <c r="AE374" i="95"/>
  <c r="AV374" i="95" s="1"/>
  <c r="AW374" i="95" s="1"/>
  <c r="Q374" i="95"/>
  <c r="BC373" i="95"/>
  <c r="AU373" i="95"/>
  <c r="AS373" i="95"/>
  <c r="AX373" i="95" s="1"/>
  <c r="AE373" i="95"/>
  <c r="AV373" i="95" s="1"/>
  <c r="AW373" i="95" s="1"/>
  <c r="Q373" i="95"/>
  <c r="BC372" i="95"/>
  <c r="AV372" i="95"/>
  <c r="AW372" i="95" s="1"/>
  <c r="AS372" i="95"/>
  <c r="AX372" i="95" s="1"/>
  <c r="AY372" i="95" s="1"/>
  <c r="AE372" i="95"/>
  <c r="Q372" i="95"/>
  <c r="AU372" i="95" s="1"/>
  <c r="BC371" i="95"/>
  <c r="AX371" i="95"/>
  <c r="AU371" i="95"/>
  <c r="AS371" i="95"/>
  <c r="AE371" i="95"/>
  <c r="AV371" i="95" s="1"/>
  <c r="AW371" i="95" s="1"/>
  <c r="Q371" i="95"/>
  <c r="BC370" i="95"/>
  <c r="AX370" i="95"/>
  <c r="AU370" i="95"/>
  <c r="AS370" i="95"/>
  <c r="AE370" i="95"/>
  <c r="AV370" i="95" s="1"/>
  <c r="Q370" i="95"/>
  <c r="BC369" i="95"/>
  <c r="AV369" i="95"/>
  <c r="AS369" i="95"/>
  <c r="AX369" i="95" s="1"/>
  <c r="AY369" i="95" s="1"/>
  <c r="AE369" i="95"/>
  <c r="Q369" i="95"/>
  <c r="AU369" i="95" s="1"/>
  <c r="BC368" i="95"/>
  <c r="AU368" i="95"/>
  <c r="AS368" i="95"/>
  <c r="AX368" i="95" s="1"/>
  <c r="AY368" i="95" s="1"/>
  <c r="AE368" i="95"/>
  <c r="AV368" i="95" s="1"/>
  <c r="AW368" i="95" s="1"/>
  <c r="Q368" i="95"/>
  <c r="BC367" i="95"/>
  <c r="AX367" i="95"/>
  <c r="AY367" i="95" s="1"/>
  <c r="AV367" i="95"/>
  <c r="AW367" i="95" s="1"/>
  <c r="AU367" i="95"/>
  <c r="AS367" i="95"/>
  <c r="AE367" i="95"/>
  <c r="Q367" i="95"/>
  <c r="BC366" i="95"/>
  <c r="AV366" i="95"/>
  <c r="AU366" i="95"/>
  <c r="AS366" i="95"/>
  <c r="AX366" i="95" s="1"/>
  <c r="AY366" i="95" s="1"/>
  <c r="AE366" i="95"/>
  <c r="Q366" i="95"/>
  <c r="BC365" i="95"/>
  <c r="AV365" i="95"/>
  <c r="AY365" i="95" s="1"/>
  <c r="AU365" i="95"/>
  <c r="AS365" i="95"/>
  <c r="AX365" i="95" s="1"/>
  <c r="AE365" i="95"/>
  <c r="Q365" i="95"/>
  <c r="BC364" i="95"/>
  <c r="AX364" i="95"/>
  <c r="AV364" i="95"/>
  <c r="AS364" i="95"/>
  <c r="AE364" i="95"/>
  <c r="Q364" i="95"/>
  <c r="AU364" i="95" s="1"/>
  <c r="BC363" i="95"/>
  <c r="AX363" i="95"/>
  <c r="AU363" i="95"/>
  <c r="AS363" i="95"/>
  <c r="AE363" i="95"/>
  <c r="AV363" i="95" s="1"/>
  <c r="Q363" i="95"/>
  <c r="BC362" i="95"/>
  <c r="AV362" i="95"/>
  <c r="AW362" i="95" s="1"/>
  <c r="AS362" i="95"/>
  <c r="AX362" i="95" s="1"/>
  <c r="AY362" i="95" s="1"/>
  <c r="AE362" i="95"/>
  <c r="Q362" i="95"/>
  <c r="AU362" i="95" s="1"/>
  <c r="BC361" i="95"/>
  <c r="AV361" i="95"/>
  <c r="AS361" i="95"/>
  <c r="AX361" i="95" s="1"/>
  <c r="AE361" i="95"/>
  <c r="Q361" i="95"/>
  <c r="AU361" i="95" s="1"/>
  <c r="BC360" i="95"/>
  <c r="AX360" i="95"/>
  <c r="AU360" i="95"/>
  <c r="AS360" i="95"/>
  <c r="AE360" i="95"/>
  <c r="AV360" i="95" s="1"/>
  <c r="Q360" i="95"/>
  <c r="BC359" i="95"/>
  <c r="AV359" i="95"/>
  <c r="AW359" i="95" s="1"/>
  <c r="AS359" i="95"/>
  <c r="AX359" i="95" s="1"/>
  <c r="AE359" i="95"/>
  <c r="Q359" i="95"/>
  <c r="AU359" i="95" s="1"/>
  <c r="BC358" i="95"/>
  <c r="AV358" i="95"/>
  <c r="AS358" i="95"/>
  <c r="AX358" i="95" s="1"/>
  <c r="AE358" i="95"/>
  <c r="Q358" i="95"/>
  <c r="AU358" i="95" s="1"/>
  <c r="BC357" i="95"/>
  <c r="AW357" i="95"/>
  <c r="AU357" i="95"/>
  <c r="AS357" i="95"/>
  <c r="AX357" i="95" s="1"/>
  <c r="AY357" i="95" s="1"/>
  <c r="AE357" i="95"/>
  <c r="AV357" i="95" s="1"/>
  <c r="Q357" i="95"/>
  <c r="BC356" i="95"/>
  <c r="AX356" i="95"/>
  <c r="AY356" i="95" s="1"/>
  <c r="AV356" i="95"/>
  <c r="AW356" i="95" s="1"/>
  <c r="AU356" i="95"/>
  <c r="AS356" i="95"/>
  <c r="AE356" i="95"/>
  <c r="Q356" i="95"/>
  <c r="BC355" i="95"/>
  <c r="AX355" i="95"/>
  <c r="AV355" i="95"/>
  <c r="AW355" i="95" s="1"/>
  <c r="AU355" i="95"/>
  <c r="AS355" i="95"/>
  <c r="AE355" i="95"/>
  <c r="Q355" i="95"/>
  <c r="BC354" i="95"/>
  <c r="AY354" i="95"/>
  <c r="AX354" i="95"/>
  <c r="AV354" i="95"/>
  <c r="AU354" i="95"/>
  <c r="AW354" i="95" s="1"/>
  <c r="AS354" i="95"/>
  <c r="AE354" i="95"/>
  <c r="Q354" i="95"/>
  <c r="BC353" i="95"/>
  <c r="AX353" i="95"/>
  <c r="AY353" i="95" s="1"/>
  <c r="AV353" i="95"/>
  <c r="AS353" i="95"/>
  <c r="AE353" i="95"/>
  <c r="Q353" i="95"/>
  <c r="AU353" i="95" s="1"/>
  <c r="BC352" i="95"/>
  <c r="AX352" i="95"/>
  <c r="AS352" i="95"/>
  <c r="AE352" i="95"/>
  <c r="AV352" i="95" s="1"/>
  <c r="Q352" i="95"/>
  <c r="AU352" i="95" s="1"/>
  <c r="BC351" i="95"/>
  <c r="AX351" i="95"/>
  <c r="AS351" i="95"/>
  <c r="AE351" i="95"/>
  <c r="AV351" i="95" s="1"/>
  <c r="Q351" i="95"/>
  <c r="AU351" i="95" s="1"/>
  <c r="BC350" i="95"/>
  <c r="AS350" i="95"/>
  <c r="AX350" i="95" s="1"/>
  <c r="AE350" i="95"/>
  <c r="AV350" i="95" s="1"/>
  <c r="AW350" i="95" s="1"/>
  <c r="Q350" i="95"/>
  <c r="AU350" i="95" s="1"/>
  <c r="BC349" i="95"/>
  <c r="AU349" i="95"/>
  <c r="AS349" i="95"/>
  <c r="AX349" i="95" s="1"/>
  <c r="AE349" i="95"/>
  <c r="AV349" i="95" s="1"/>
  <c r="Q349" i="95"/>
  <c r="BC348" i="95"/>
  <c r="AV348" i="95"/>
  <c r="AS348" i="95"/>
  <c r="AX348" i="95" s="1"/>
  <c r="AE348" i="95"/>
  <c r="Q348" i="95"/>
  <c r="AU348" i="95" s="1"/>
  <c r="BC347" i="95"/>
  <c r="AB347" i="95" s="1"/>
  <c r="AU347" i="95"/>
  <c r="AS347" i="95"/>
  <c r="AX347" i="95" s="1"/>
  <c r="AD347" i="95"/>
  <c r="AC347" i="95"/>
  <c r="AA347" i="95"/>
  <c r="Z347" i="95"/>
  <c r="Y347" i="95"/>
  <c r="X347" i="95"/>
  <c r="W347" i="95"/>
  <c r="Q347" i="95"/>
  <c r="BC346" i="95"/>
  <c r="AX346" i="95"/>
  <c r="AY346" i="95" s="1"/>
  <c r="AV346" i="95"/>
  <c r="AW346" i="95" s="1"/>
  <c r="AU346" i="95"/>
  <c r="AS346" i="95"/>
  <c r="AE346" i="95"/>
  <c r="Q346" i="95"/>
  <c r="BC345" i="95"/>
  <c r="AY345" i="95"/>
  <c r="AX345" i="95"/>
  <c r="AV345" i="95"/>
  <c r="AU345" i="95"/>
  <c r="AW345" i="95" s="1"/>
  <c r="AS345" i="95"/>
  <c r="AE345" i="95"/>
  <c r="Q345" i="95"/>
  <c r="BC344" i="95"/>
  <c r="AX344" i="95"/>
  <c r="AY344" i="95" s="1"/>
  <c r="AV344" i="95"/>
  <c r="AW344" i="95" s="1"/>
  <c r="AS344" i="95"/>
  <c r="AE344" i="95"/>
  <c r="Q344" i="95"/>
  <c r="AU344" i="95" s="1"/>
  <c r="BC343" i="95"/>
  <c r="AX343" i="95"/>
  <c r="AV343" i="95"/>
  <c r="AW343" i="95" s="1"/>
  <c r="AS343" i="95"/>
  <c r="AE343" i="95"/>
  <c r="Q343" i="95"/>
  <c r="AU343" i="95" s="1"/>
  <c r="BC342" i="95"/>
  <c r="AX342" i="95"/>
  <c r="AS342" i="95"/>
  <c r="AE342" i="95"/>
  <c r="AV342" i="95" s="1"/>
  <c r="Q342" i="95"/>
  <c r="AU342" i="95" s="1"/>
  <c r="BC341" i="95"/>
  <c r="AS341" i="95"/>
  <c r="AX341" i="95" s="1"/>
  <c r="AY341" i="95" s="1"/>
  <c r="AE341" i="95"/>
  <c r="AV341" i="95" s="1"/>
  <c r="Q341" i="95"/>
  <c r="AU341" i="95" s="1"/>
  <c r="BC340" i="95"/>
  <c r="AU340" i="95"/>
  <c r="AS340" i="95"/>
  <c r="AX340" i="95" s="1"/>
  <c r="AY340" i="95" s="1"/>
  <c r="AE340" i="95"/>
  <c r="AV340" i="95" s="1"/>
  <c r="Q340" i="95"/>
  <c r="BC339" i="95"/>
  <c r="AV339" i="95"/>
  <c r="AS339" i="95"/>
  <c r="AX339" i="95" s="1"/>
  <c r="AY339" i="95" s="1"/>
  <c r="AE339" i="95"/>
  <c r="Q339" i="95"/>
  <c r="AU339" i="95" s="1"/>
  <c r="BC338" i="95"/>
  <c r="AW338" i="95"/>
  <c r="AU338" i="95"/>
  <c r="AS338" i="95"/>
  <c r="AX338" i="95" s="1"/>
  <c r="AY338" i="95" s="1"/>
  <c r="AE338" i="95"/>
  <c r="AV338" i="95" s="1"/>
  <c r="Q338" i="95"/>
  <c r="BC337" i="95"/>
  <c r="AX337" i="95"/>
  <c r="AY337" i="95" s="1"/>
  <c r="AV337" i="95"/>
  <c r="AW337" i="95" s="1"/>
  <c r="AU337" i="95"/>
  <c r="AS337" i="95"/>
  <c r="AE337" i="95"/>
  <c r="Q337" i="95"/>
  <c r="BC336" i="95"/>
  <c r="AY336" i="95"/>
  <c r="AX336" i="95"/>
  <c r="AV336" i="95"/>
  <c r="AU336" i="95"/>
  <c r="AW336" i="95" s="1"/>
  <c r="AS336" i="95"/>
  <c r="AE336" i="95"/>
  <c r="Q336" i="95"/>
  <c r="BC335" i="95"/>
  <c r="AX335" i="95"/>
  <c r="AY335" i="95" s="1"/>
  <c r="AV335" i="95"/>
  <c r="AS335" i="95"/>
  <c r="AE335" i="95"/>
  <c r="Q335" i="95"/>
  <c r="AU335" i="95" s="1"/>
  <c r="BC334" i="95"/>
  <c r="AX334" i="95"/>
  <c r="AS334" i="95"/>
  <c r="AE334" i="95"/>
  <c r="AV334" i="95" s="1"/>
  <c r="Q334" i="95"/>
  <c r="AU334" i="95" s="1"/>
  <c r="BC333" i="95"/>
  <c r="AS333" i="95"/>
  <c r="AX333" i="95" s="1"/>
  <c r="AE333" i="95"/>
  <c r="AV333" i="95" s="1"/>
  <c r="AW333" i="95" s="1"/>
  <c r="Q333" i="95"/>
  <c r="AU333" i="95" s="1"/>
  <c r="BC332" i="95"/>
  <c r="AS332" i="95"/>
  <c r="AX332" i="95" s="1"/>
  <c r="AY332" i="95" s="1"/>
  <c r="AE332" i="95"/>
  <c r="AV332" i="95" s="1"/>
  <c r="Q332" i="95"/>
  <c r="AU332" i="95" s="1"/>
  <c r="BC331" i="95"/>
  <c r="AS331" i="95"/>
  <c r="AX331" i="95" s="1"/>
  <c r="AE331" i="95"/>
  <c r="AV331" i="95" s="1"/>
  <c r="Q331" i="95"/>
  <c r="AU331" i="95" s="1"/>
  <c r="BC330" i="95"/>
  <c r="AS330" i="95"/>
  <c r="AX330" i="95" s="1"/>
  <c r="AY330" i="95" s="1"/>
  <c r="AE330" i="95"/>
  <c r="AV330" i="95" s="1"/>
  <c r="Q330" i="95"/>
  <c r="AU330" i="95" s="1"/>
  <c r="BC329" i="95"/>
  <c r="AS329" i="95"/>
  <c r="AX329" i="95" s="1"/>
  <c r="AE329" i="95"/>
  <c r="AV329" i="95" s="1"/>
  <c r="Q329" i="95"/>
  <c r="AU329" i="95" s="1"/>
  <c r="BC328" i="95"/>
  <c r="AU328" i="95"/>
  <c r="AS328" i="95"/>
  <c r="AX328" i="95" s="1"/>
  <c r="AE328" i="95"/>
  <c r="AV328" i="95" s="1"/>
  <c r="Q328" i="95"/>
  <c r="BC327" i="95"/>
  <c r="X327" i="95" s="1"/>
  <c r="AU327" i="95"/>
  <c r="AS327" i="95"/>
  <c r="AX327" i="95" s="1"/>
  <c r="AC327" i="95"/>
  <c r="Y327" i="95"/>
  <c r="Q327" i="95"/>
  <c r="BC326" i="95"/>
  <c r="AV326" i="95"/>
  <c r="AS326" i="95"/>
  <c r="AX326" i="95" s="1"/>
  <c r="AE326" i="95"/>
  <c r="Q326" i="95"/>
  <c r="AU326" i="95" s="1"/>
  <c r="BC325" i="95"/>
  <c r="AW325" i="95"/>
  <c r="AU325" i="95"/>
  <c r="AS325" i="95"/>
  <c r="AX325" i="95" s="1"/>
  <c r="AY325" i="95" s="1"/>
  <c r="AE325" i="95"/>
  <c r="AV325" i="95" s="1"/>
  <c r="Q325" i="95"/>
  <c r="BC324" i="95"/>
  <c r="AX324" i="95"/>
  <c r="AY324" i="95" s="1"/>
  <c r="AV324" i="95"/>
  <c r="AW324" i="95" s="1"/>
  <c r="AU324" i="95"/>
  <c r="AS324" i="95"/>
  <c r="AE324" i="95"/>
  <c r="Q324" i="95"/>
  <c r="BC323" i="95"/>
  <c r="AX323" i="95"/>
  <c r="AU323" i="95"/>
  <c r="AS323" i="95"/>
  <c r="AD323" i="95"/>
  <c r="AC323" i="95"/>
  <c r="AB323" i="95"/>
  <c r="AA323" i="95"/>
  <c r="Z323" i="95"/>
  <c r="Y323" i="95"/>
  <c r="X323" i="95"/>
  <c r="X375" i="95" s="1"/>
  <c r="W323" i="95"/>
  <c r="Q323" i="95"/>
  <c r="BC322" i="95"/>
  <c r="AY322" i="95"/>
  <c r="AX322" i="95"/>
  <c r="AV322" i="95"/>
  <c r="AU322" i="95"/>
  <c r="AW322" i="95" s="1"/>
  <c r="AS322" i="95"/>
  <c r="AE322" i="95"/>
  <c r="Q322" i="95"/>
  <c r="BC321" i="95"/>
  <c r="AX321" i="95"/>
  <c r="AY321" i="95" s="1"/>
  <c r="AV321" i="95"/>
  <c r="AS321" i="95"/>
  <c r="AE321" i="95"/>
  <c r="Q321" i="95"/>
  <c r="AU321" i="95" s="1"/>
  <c r="BC320" i="95"/>
  <c r="AX320" i="95"/>
  <c r="AW320" i="95"/>
  <c r="AS320" i="95"/>
  <c r="AE320" i="95"/>
  <c r="AV320" i="95" s="1"/>
  <c r="AY320" i="95" s="1"/>
  <c r="Q320" i="95"/>
  <c r="AU320" i="95" s="1"/>
  <c r="BC319" i="95"/>
  <c r="AX319" i="95"/>
  <c r="AS319" i="95"/>
  <c r="AE319" i="95"/>
  <c r="AV319" i="95" s="1"/>
  <c r="AW319" i="95" s="1"/>
  <c r="Q319" i="95"/>
  <c r="AU319" i="95" s="1"/>
  <c r="BC318" i="95"/>
  <c r="AU318" i="95"/>
  <c r="AS318" i="95"/>
  <c r="AX318" i="95" s="1"/>
  <c r="AY318" i="95" s="1"/>
  <c r="AE318" i="95"/>
  <c r="AV318" i="95" s="1"/>
  <c r="AW318" i="95" s="1"/>
  <c r="Q318" i="95"/>
  <c r="BC317" i="95"/>
  <c r="AV317" i="95"/>
  <c r="AW317" i="95" s="1"/>
  <c r="AS317" i="95"/>
  <c r="AX317" i="95" s="1"/>
  <c r="AY317" i="95" s="1"/>
  <c r="AE317" i="95"/>
  <c r="Q317" i="95"/>
  <c r="AU317" i="95" s="1"/>
  <c r="BC316" i="95"/>
  <c r="AW316" i="95"/>
  <c r="AU316" i="95"/>
  <c r="AS316" i="95"/>
  <c r="AX316" i="95" s="1"/>
  <c r="AY316" i="95" s="1"/>
  <c r="AE316" i="95"/>
  <c r="AV316" i="95" s="1"/>
  <c r="AD316" i="95"/>
  <c r="Q316" i="95"/>
  <c r="BC315" i="95"/>
  <c r="AY315" i="95"/>
  <c r="AX315" i="95"/>
  <c r="AV315" i="95"/>
  <c r="AU315" i="95"/>
  <c r="AW315" i="95" s="1"/>
  <c r="AS315" i="95"/>
  <c r="AE315" i="95"/>
  <c r="Q315" i="95"/>
  <c r="BC314" i="95"/>
  <c r="AU314" i="95"/>
  <c r="AR314" i="95"/>
  <c r="AQ314" i="95"/>
  <c r="AP314" i="95"/>
  <c r="AO314" i="95"/>
  <c r="AN314" i="95"/>
  <c r="AM314" i="95"/>
  <c r="AL314" i="95"/>
  <c r="AK314" i="95"/>
  <c r="AJ314" i="95"/>
  <c r="AI314" i="95"/>
  <c r="AH314" i="95"/>
  <c r="AG314" i="95"/>
  <c r="AD314" i="95"/>
  <c r="AC314" i="95"/>
  <c r="AB314" i="95"/>
  <c r="AA314" i="95"/>
  <c r="Z314" i="95"/>
  <c r="Y314" i="95"/>
  <c r="X314" i="95"/>
  <c r="W314" i="95"/>
  <c r="AE314" i="95" s="1"/>
  <c r="AV314" i="95" s="1"/>
  <c r="Q314" i="95"/>
  <c r="BC313" i="95"/>
  <c r="AU313" i="95"/>
  <c r="AS313" i="95"/>
  <c r="AS314" i="95" s="1"/>
  <c r="AX314" i="95" s="1"/>
  <c r="AE313" i="95"/>
  <c r="AV313" i="95" s="1"/>
  <c r="Q313" i="95"/>
  <c r="BC312" i="95"/>
  <c r="AR312" i="95"/>
  <c r="AQ312" i="95"/>
  <c r="AP312" i="95"/>
  <c r="AO312" i="95"/>
  <c r="AN312" i="95"/>
  <c r="AM312" i="95"/>
  <c r="AL312" i="95"/>
  <c r="AK312" i="95"/>
  <c r="AJ312" i="95"/>
  <c r="AI312" i="95"/>
  <c r="AH312" i="95"/>
  <c r="AG312" i="95"/>
  <c r="Q312" i="95"/>
  <c r="AU312" i="95" s="1"/>
  <c r="BC311" i="95"/>
  <c r="AX311" i="95"/>
  <c r="AV311" i="95"/>
  <c r="AW311" i="95" s="1"/>
  <c r="AS311" i="95"/>
  <c r="AE311" i="95"/>
  <c r="Q311" i="95"/>
  <c r="AU311" i="95" s="1"/>
  <c r="BC310" i="95"/>
  <c r="AY310" i="95"/>
  <c r="AX310" i="95"/>
  <c r="AS310" i="95"/>
  <c r="AE310" i="95"/>
  <c r="AV310" i="95" s="1"/>
  <c r="AW310" i="95" s="1"/>
  <c r="Q310" i="95"/>
  <c r="AU310" i="95" s="1"/>
  <c r="BC309" i="95"/>
  <c r="AX309" i="95"/>
  <c r="AS309" i="95"/>
  <c r="AE309" i="95"/>
  <c r="AV309" i="95" s="1"/>
  <c r="Q309" i="95"/>
  <c r="AU309" i="95" s="1"/>
  <c r="AW309" i="95" s="1"/>
  <c r="BC308" i="95"/>
  <c r="AX308" i="95"/>
  <c r="AS308" i="95"/>
  <c r="AE308" i="95"/>
  <c r="AV308" i="95" s="1"/>
  <c r="AW308" i="95" s="1"/>
  <c r="Q308" i="95"/>
  <c r="AU308" i="95" s="1"/>
  <c r="BC307" i="95"/>
  <c r="AX307" i="95"/>
  <c r="AW307" i="95"/>
  <c r="AS307" i="95"/>
  <c r="AE307" i="95"/>
  <c r="AV307" i="95" s="1"/>
  <c r="Q307" i="95"/>
  <c r="AU307" i="95" s="1"/>
  <c r="BC306" i="95"/>
  <c r="AX306" i="95"/>
  <c r="AS306" i="95"/>
  <c r="AE306" i="95"/>
  <c r="AV306" i="95" s="1"/>
  <c r="AW306" i="95" s="1"/>
  <c r="Q306" i="95"/>
  <c r="AU306" i="95" s="1"/>
  <c r="BC305" i="95"/>
  <c r="AU305" i="95"/>
  <c r="AS305" i="95"/>
  <c r="AX305" i="95" s="1"/>
  <c r="AY305" i="95" s="1"/>
  <c r="AE305" i="95"/>
  <c r="AV305" i="95" s="1"/>
  <c r="AW305" i="95" s="1"/>
  <c r="Q305" i="95"/>
  <c r="BC304" i="95"/>
  <c r="AU304" i="95"/>
  <c r="AS304" i="95"/>
  <c r="AX304" i="95" s="1"/>
  <c r="AE304" i="95"/>
  <c r="AV304" i="95" s="1"/>
  <c r="Q304" i="95"/>
  <c r="BC303" i="95"/>
  <c r="AU303" i="95"/>
  <c r="AS303" i="95"/>
  <c r="AX303" i="95" s="1"/>
  <c r="AE303" i="95"/>
  <c r="AV303" i="95" s="1"/>
  <c r="AW303" i="95" s="1"/>
  <c r="Q303" i="95"/>
  <c r="BC302" i="95"/>
  <c r="AV302" i="95"/>
  <c r="AS302" i="95"/>
  <c r="AX302" i="95" s="1"/>
  <c r="AE302" i="95"/>
  <c r="Q302" i="95"/>
  <c r="AU302" i="95" s="1"/>
  <c r="BC301" i="95"/>
  <c r="AV301" i="95"/>
  <c r="AW301" i="95" s="1"/>
  <c r="AS301" i="95"/>
  <c r="AX301" i="95" s="1"/>
  <c r="AE301" i="95"/>
  <c r="Q301" i="95"/>
  <c r="AU301" i="95" s="1"/>
  <c r="BC300" i="95"/>
  <c r="AV300" i="95"/>
  <c r="AS300" i="95"/>
  <c r="AX300" i="95" s="1"/>
  <c r="AE300" i="95"/>
  <c r="Q300" i="95"/>
  <c r="AU300" i="95" s="1"/>
  <c r="BC299" i="95"/>
  <c r="AV299" i="95"/>
  <c r="AS299" i="95"/>
  <c r="AX299" i="95" s="1"/>
  <c r="AE299" i="95"/>
  <c r="Q299" i="95"/>
  <c r="AU299" i="95" s="1"/>
  <c r="BC298" i="95"/>
  <c r="AU298" i="95"/>
  <c r="AS298" i="95"/>
  <c r="AX298" i="95" s="1"/>
  <c r="AY298" i="95" s="1"/>
  <c r="AE298" i="95"/>
  <c r="AV298" i="95" s="1"/>
  <c r="Q298" i="95"/>
  <c r="BC297" i="95"/>
  <c r="AV297" i="95"/>
  <c r="AW297" i="95" s="1"/>
  <c r="AU297" i="95"/>
  <c r="AS297" i="95"/>
  <c r="AX297" i="95" s="1"/>
  <c r="AY297" i="95" s="1"/>
  <c r="AE297" i="95"/>
  <c r="Q297" i="95"/>
  <c r="BC296" i="95"/>
  <c r="AY296" i="95"/>
  <c r="AX296" i="95"/>
  <c r="AV296" i="95"/>
  <c r="AU296" i="95"/>
  <c r="AW296" i="95" s="1"/>
  <c r="AS296" i="95"/>
  <c r="AE296" i="95"/>
  <c r="Q296" i="95"/>
  <c r="BC295" i="95"/>
  <c r="AX295" i="95"/>
  <c r="AV295" i="95"/>
  <c r="AW295" i="95" s="1"/>
  <c r="AS295" i="95"/>
  <c r="AE295" i="95"/>
  <c r="Q295" i="95"/>
  <c r="AU295" i="95" s="1"/>
  <c r="BC294" i="95"/>
  <c r="AY294" i="95"/>
  <c r="AX294" i="95"/>
  <c r="AS294" i="95"/>
  <c r="AE294" i="95"/>
  <c r="AV294" i="95" s="1"/>
  <c r="Q294" i="95"/>
  <c r="AU294" i="95" s="1"/>
  <c r="AW294" i="95" s="1"/>
  <c r="BC293" i="95"/>
  <c r="AD293" i="95" s="1"/>
  <c r="AD312" i="95" s="1"/>
  <c r="AX293" i="95"/>
  <c r="AS293" i="95"/>
  <c r="AB293" i="95"/>
  <c r="X293" i="95"/>
  <c r="Q293" i="95"/>
  <c r="AU293" i="95" s="1"/>
  <c r="BC292" i="95"/>
  <c r="AY292" i="95"/>
  <c r="AU292" i="95"/>
  <c r="AS292" i="95"/>
  <c r="AX292" i="95" s="1"/>
  <c r="AE292" i="95"/>
  <c r="AV292" i="95" s="1"/>
  <c r="Q292" i="95"/>
  <c r="BC291" i="95"/>
  <c r="AV291" i="95"/>
  <c r="AS291" i="95"/>
  <c r="AX291" i="95" s="1"/>
  <c r="AY291" i="95" s="1"/>
  <c r="AE291" i="95"/>
  <c r="Q291" i="95"/>
  <c r="AU291" i="95" s="1"/>
  <c r="BC290" i="95"/>
  <c r="AV290" i="95"/>
  <c r="AW290" i="95" s="1"/>
  <c r="AS290" i="95"/>
  <c r="AX290" i="95" s="1"/>
  <c r="AE290" i="95"/>
  <c r="Q290" i="95"/>
  <c r="AU290" i="95" s="1"/>
  <c r="BC289" i="95"/>
  <c r="AW289" i="95"/>
  <c r="AU289" i="95"/>
  <c r="AS289" i="95"/>
  <c r="AX289" i="95" s="1"/>
  <c r="AY289" i="95" s="1"/>
  <c r="AE289" i="95"/>
  <c r="AV289" i="95" s="1"/>
  <c r="Q289" i="95"/>
  <c r="BC288" i="95"/>
  <c r="AV288" i="95"/>
  <c r="AW288" i="95" s="1"/>
  <c r="AU288" i="95"/>
  <c r="AS288" i="95"/>
  <c r="AX288" i="95" s="1"/>
  <c r="AY288" i="95" s="1"/>
  <c r="AE288" i="95"/>
  <c r="Q288" i="95"/>
  <c r="BC287" i="95"/>
  <c r="AY287" i="95"/>
  <c r="AV287" i="95"/>
  <c r="AU287" i="95"/>
  <c r="AS287" i="95"/>
  <c r="AX287" i="95" s="1"/>
  <c r="AE287" i="95"/>
  <c r="Q287" i="95"/>
  <c r="BC286" i="95"/>
  <c r="AD286" i="95" s="1"/>
  <c r="AU286" i="95"/>
  <c r="AS286" i="95"/>
  <c r="AX286" i="95" s="1"/>
  <c r="AC286" i="95"/>
  <c r="AB286" i="95"/>
  <c r="AB312" i="95" s="1"/>
  <c r="AA286" i="95"/>
  <c r="Z286" i="95"/>
  <c r="Y286" i="95"/>
  <c r="X286" i="95"/>
  <c r="W286" i="95"/>
  <c r="Q286" i="95"/>
  <c r="BC285" i="95"/>
  <c r="AV285" i="95"/>
  <c r="AW285" i="95" s="1"/>
  <c r="AU285" i="95"/>
  <c r="AS285" i="95"/>
  <c r="AX285" i="95" s="1"/>
  <c r="AE285" i="95"/>
  <c r="Q285" i="95"/>
  <c r="BC284" i="95"/>
  <c r="AY284" i="95"/>
  <c r="AX284" i="95"/>
  <c r="AV284" i="95"/>
  <c r="AS284" i="95"/>
  <c r="W284" i="95"/>
  <c r="AE284" i="95" s="1"/>
  <c r="Q284" i="95"/>
  <c r="AU284" i="95" s="1"/>
  <c r="AW284" i="95" s="1"/>
  <c r="BC283" i="95"/>
  <c r="AX283" i="95"/>
  <c r="AS283" i="95"/>
  <c r="Z283" i="95"/>
  <c r="X283" i="95"/>
  <c r="Q283" i="95"/>
  <c r="AU283" i="95" s="1"/>
  <c r="BC282" i="95"/>
  <c r="AS282" i="95"/>
  <c r="AX282" i="95" s="1"/>
  <c r="AE282" i="95"/>
  <c r="AV282" i="95" s="1"/>
  <c r="Q282" i="95"/>
  <c r="AU282" i="95" s="1"/>
  <c r="BC281" i="95"/>
  <c r="AV281" i="95"/>
  <c r="AW281" i="95" s="1"/>
  <c r="AS281" i="95"/>
  <c r="AX281" i="95" s="1"/>
  <c r="AE281" i="95"/>
  <c r="Q281" i="95"/>
  <c r="AU281" i="95" s="1"/>
  <c r="BC280" i="95"/>
  <c r="AU280" i="95"/>
  <c r="AS280" i="95"/>
  <c r="AX280" i="95" s="1"/>
  <c r="AE280" i="95"/>
  <c r="AV280" i="95" s="1"/>
  <c r="AW280" i="95" s="1"/>
  <c r="Q280" i="95"/>
  <c r="BC279" i="95"/>
  <c r="AU279" i="95"/>
  <c r="AR279" i="95"/>
  <c r="AQ279" i="95"/>
  <c r="AP279" i="95"/>
  <c r="AO279" i="95"/>
  <c r="AN279" i="95"/>
  <c r="AM279" i="95"/>
  <c r="AL279" i="95"/>
  <c r="AK279" i="95"/>
  <c r="AJ279" i="95"/>
  <c r="AI279" i="95"/>
  <c r="AH279" i="95"/>
  <c r="AG279" i="95"/>
  <c r="AD279" i="95"/>
  <c r="AB279" i="95"/>
  <c r="AA279" i="95"/>
  <c r="Z279" i="95"/>
  <c r="Y279" i="95"/>
  <c r="X279" i="95"/>
  <c r="Q279" i="95"/>
  <c r="BC278" i="95"/>
  <c r="AS278" i="95"/>
  <c r="AX278" i="95" s="1"/>
  <c r="AE278" i="95"/>
  <c r="AV278" i="95" s="1"/>
  <c r="AW278" i="95" s="1"/>
  <c r="Q278" i="95"/>
  <c r="AU278" i="95" s="1"/>
  <c r="BC277" i="95"/>
  <c r="AY277" i="95"/>
  <c r="AS277" i="95"/>
  <c r="AX277" i="95" s="1"/>
  <c r="AE277" i="95"/>
  <c r="AV277" i="95" s="1"/>
  <c r="Q277" i="95"/>
  <c r="AU277" i="95" s="1"/>
  <c r="BC276" i="95"/>
  <c r="AX276" i="95"/>
  <c r="AY276" i="95" s="1"/>
  <c r="AV276" i="95"/>
  <c r="AS276" i="95"/>
  <c r="AE276" i="95"/>
  <c r="Q276" i="95"/>
  <c r="AU276" i="95" s="1"/>
  <c r="BC275" i="95"/>
  <c r="AX275" i="95"/>
  <c r="AY275" i="95" s="1"/>
  <c r="AS275" i="95"/>
  <c r="AE275" i="95"/>
  <c r="AV275" i="95" s="1"/>
  <c r="Q275" i="95"/>
  <c r="AU275" i="95" s="1"/>
  <c r="BC274" i="95"/>
  <c r="AU274" i="95"/>
  <c r="AS274" i="95"/>
  <c r="AX274" i="95" s="1"/>
  <c r="AY274" i="95" s="1"/>
  <c r="AE274" i="95"/>
  <c r="AV274" i="95" s="1"/>
  <c r="AW274" i="95" s="1"/>
  <c r="Q274" i="95"/>
  <c r="BC273" i="95"/>
  <c r="AU273" i="95"/>
  <c r="AS273" i="95"/>
  <c r="AX273" i="95" s="1"/>
  <c r="AE273" i="95"/>
  <c r="AV273" i="95" s="1"/>
  <c r="AW273" i="95" s="1"/>
  <c r="Q273" i="95"/>
  <c r="BC272" i="95"/>
  <c r="AU272" i="95"/>
  <c r="AS272" i="95"/>
  <c r="AX272" i="95" s="1"/>
  <c r="AE272" i="95"/>
  <c r="AV272" i="95" s="1"/>
  <c r="AW272" i="95" s="1"/>
  <c r="Q272" i="95"/>
  <c r="BC271" i="95"/>
  <c r="AU271" i="95"/>
  <c r="AS271" i="95"/>
  <c r="AX271" i="95" s="1"/>
  <c r="W271" i="95"/>
  <c r="Q271" i="95"/>
  <c r="BC270" i="95"/>
  <c r="AV270" i="95"/>
  <c r="AW270" i="95" s="1"/>
  <c r="AS270" i="95"/>
  <c r="AX270" i="95" s="1"/>
  <c r="AE270" i="95"/>
  <c r="AC270" i="95"/>
  <c r="AC279" i="95" s="1"/>
  <c r="Q270" i="95"/>
  <c r="AU270" i="95" s="1"/>
  <c r="BC269" i="95"/>
  <c r="AG269" i="95"/>
  <c r="W269" i="95"/>
  <c r="Q269" i="95"/>
  <c r="AU269" i="95" s="1"/>
  <c r="BC268" i="95"/>
  <c r="AB268" i="95" s="1"/>
  <c r="AU268" i="95"/>
  <c r="AC268" i="95"/>
  <c r="Z268" i="95"/>
  <c r="Y268" i="95"/>
  <c r="X268" i="95"/>
  <c r="Q268" i="95"/>
  <c r="BC267" i="95"/>
  <c r="AX267" i="95"/>
  <c r="AY267" i="95" s="1"/>
  <c r="AV267" i="95"/>
  <c r="AU267" i="95"/>
  <c r="AS267" i="95"/>
  <c r="AE267" i="95"/>
  <c r="Q267" i="95"/>
  <c r="BC266" i="95"/>
  <c r="AV266" i="95"/>
  <c r="AW266" i="95" s="1"/>
  <c r="AU266" i="95"/>
  <c r="AP266" i="95"/>
  <c r="AO266" i="95"/>
  <c r="AL266" i="95"/>
  <c r="AH266" i="95"/>
  <c r="AE266" i="95"/>
  <c r="Q266" i="95"/>
  <c r="BC265" i="95"/>
  <c r="AV265" i="95"/>
  <c r="AS265" i="95"/>
  <c r="AX265" i="95" s="1"/>
  <c r="AY265" i="95" s="1"/>
  <c r="AE265" i="95"/>
  <c r="Q265" i="95"/>
  <c r="AU265" i="95" s="1"/>
  <c r="AW265" i="95" s="1"/>
  <c r="BC264" i="95"/>
  <c r="AB264" i="95" s="1"/>
  <c r="AA264" i="95"/>
  <c r="X264" i="95"/>
  <c r="Q264" i="95"/>
  <c r="AU264" i="95" s="1"/>
  <c r="BC263" i="95"/>
  <c r="AW263" i="95"/>
  <c r="AU263" i="95"/>
  <c r="AS263" i="95"/>
  <c r="AX263" i="95" s="1"/>
  <c r="AY263" i="95" s="1"/>
  <c r="AE263" i="95"/>
  <c r="AV263" i="95" s="1"/>
  <c r="Q263" i="95"/>
  <c r="BC262" i="95"/>
  <c r="AA262" i="95" s="1"/>
  <c r="AS262" i="95"/>
  <c r="AX262" i="95" s="1"/>
  <c r="AD262" i="95"/>
  <c r="AC262" i="95"/>
  <c r="AB262" i="95"/>
  <c r="Z262" i="95"/>
  <c r="Y262" i="95"/>
  <c r="Q262" i="95"/>
  <c r="AU262" i="95" s="1"/>
  <c r="BC261" i="95"/>
  <c r="AS261" i="95"/>
  <c r="AX261" i="95" s="1"/>
  <c r="AE261" i="95"/>
  <c r="AV261" i="95" s="1"/>
  <c r="Q261" i="95"/>
  <c r="AU261" i="95" s="1"/>
  <c r="BC260" i="95"/>
  <c r="AU260" i="95"/>
  <c r="AR260" i="95"/>
  <c r="AO260" i="95"/>
  <c r="AE260" i="95"/>
  <c r="Q260" i="95"/>
  <c r="BC259" i="95"/>
  <c r="Y259" i="95" s="1"/>
  <c r="AE259" i="95" s="1"/>
  <c r="AV259" i="95" s="1"/>
  <c r="AW259" i="95" s="1"/>
  <c r="AX259" i="95"/>
  <c r="AS259" i="95"/>
  <c r="AD259" i="95"/>
  <c r="AC259" i="95"/>
  <c r="AB259" i="95"/>
  <c r="AA259" i="95"/>
  <c r="Z259" i="95"/>
  <c r="X259" i="95"/>
  <c r="Q259" i="95"/>
  <c r="AU259" i="95" s="1"/>
  <c r="BC258" i="95"/>
  <c r="AH258" i="95"/>
  <c r="AE258" i="95"/>
  <c r="Q258" i="95"/>
  <c r="AU258" i="95" s="1"/>
  <c r="BC257" i="95"/>
  <c r="AC257" i="95" s="1"/>
  <c r="AX257" i="95"/>
  <c r="AS257" i="95"/>
  <c r="AD257" i="95"/>
  <c r="AB257" i="95"/>
  <c r="AA257" i="95"/>
  <c r="Y257" i="95"/>
  <c r="X257" i="95"/>
  <c r="Q257" i="95"/>
  <c r="AU257" i="95" s="1"/>
  <c r="BC256" i="95"/>
  <c r="AC256" i="95" s="1"/>
  <c r="AX256" i="95"/>
  <c r="AS256" i="95"/>
  <c r="AD256" i="95"/>
  <c r="AB256" i="95"/>
  <c r="AA256" i="95"/>
  <c r="Y256" i="95"/>
  <c r="X256" i="95"/>
  <c r="Q256" i="95"/>
  <c r="AU256" i="95" s="1"/>
  <c r="BC255" i="95"/>
  <c r="AC255" i="95" s="1"/>
  <c r="AX255" i="95"/>
  <c r="AS255" i="95"/>
  <c r="AD255" i="95"/>
  <c r="AB255" i="95"/>
  <c r="AA255" i="95"/>
  <c r="Y255" i="95"/>
  <c r="X255" i="95"/>
  <c r="Q255" i="95"/>
  <c r="AU255" i="95" s="1"/>
  <c r="BC254" i="95"/>
  <c r="AC254" i="95" s="1"/>
  <c r="AX254" i="95"/>
  <c r="AS254" i="95"/>
  <c r="AD254" i="95"/>
  <c r="AB254" i="95"/>
  <c r="AA254" i="95"/>
  <c r="Y254" i="95"/>
  <c r="X254" i="95"/>
  <c r="Q254" i="95"/>
  <c r="AU254" i="95" s="1"/>
  <c r="BC253" i="95"/>
  <c r="AS253" i="95"/>
  <c r="AX253" i="95" s="1"/>
  <c r="AY253" i="95" s="1"/>
  <c r="AE253" i="95"/>
  <c r="AV253" i="95" s="1"/>
  <c r="Q253" i="95"/>
  <c r="AU253" i="95" s="1"/>
  <c r="BC252" i="95"/>
  <c r="AS252" i="95"/>
  <c r="AX252" i="95" s="1"/>
  <c r="AE252" i="95"/>
  <c r="AV252" i="95" s="1"/>
  <c r="Q252" i="95"/>
  <c r="AU252" i="95" s="1"/>
  <c r="BC251" i="95"/>
  <c r="AC251" i="95" s="1"/>
  <c r="AX251" i="95"/>
  <c r="AS251" i="95"/>
  <c r="AD251" i="95"/>
  <c r="AB251" i="95"/>
  <c r="AA251" i="95"/>
  <c r="Y251" i="95"/>
  <c r="X251" i="95"/>
  <c r="Q251" i="95"/>
  <c r="AU251" i="95" s="1"/>
  <c r="BC250" i="95"/>
  <c r="AX250" i="95"/>
  <c r="AS250" i="95"/>
  <c r="AD250" i="95"/>
  <c r="AB250" i="95"/>
  <c r="AA250" i="95"/>
  <c r="Y250" i="95"/>
  <c r="X250" i="95"/>
  <c r="Q250" i="95"/>
  <c r="AU250" i="95" s="1"/>
  <c r="BC249" i="95"/>
  <c r="AB249" i="95"/>
  <c r="AA249" i="95"/>
  <c r="Z249" i="95"/>
  <c r="Y249" i="95"/>
  <c r="Q249" i="95"/>
  <c r="AU249" i="95" s="1"/>
  <c r="BC248" i="95"/>
  <c r="Z248" i="95" s="1"/>
  <c r="AX248" i="95"/>
  <c r="AS248" i="95"/>
  <c r="AD248" i="95"/>
  <c r="AB248" i="95"/>
  <c r="AA248" i="95"/>
  <c r="Y248" i="95"/>
  <c r="Q248" i="95"/>
  <c r="AU248" i="95" s="1"/>
  <c r="BC247" i="95"/>
  <c r="AX247" i="95"/>
  <c r="AS247" i="95"/>
  <c r="AB247" i="95"/>
  <c r="AA247" i="95"/>
  <c r="Q247" i="95"/>
  <c r="AU247" i="95" s="1"/>
  <c r="BC246" i="95"/>
  <c r="AU246" i="95"/>
  <c r="AC246" i="95"/>
  <c r="AB246" i="95"/>
  <c r="AA246" i="95"/>
  <c r="Z246" i="95"/>
  <c r="X246" i="95"/>
  <c r="Q246" i="95"/>
  <c r="BC245" i="95"/>
  <c r="AY245" i="95"/>
  <c r="AX245" i="95"/>
  <c r="AS245" i="95"/>
  <c r="AE245" i="95"/>
  <c r="AV245" i="95" s="1"/>
  <c r="AW245" i="95" s="1"/>
  <c r="Q245" i="95"/>
  <c r="AU245" i="95" s="1"/>
  <c r="BC244" i="95"/>
  <c r="AX244" i="95"/>
  <c r="AU244" i="95"/>
  <c r="AS244" i="95"/>
  <c r="AE244" i="95"/>
  <c r="AV244" i="95" s="1"/>
  <c r="AW244" i="95" s="1"/>
  <c r="Q244" i="95"/>
  <c r="BC243" i="95"/>
  <c r="Q243" i="95"/>
  <c r="AU243" i="95" s="1"/>
  <c r="BC242" i="95"/>
  <c r="X242" i="95" s="1"/>
  <c r="AE242" i="95" s="1"/>
  <c r="AV242" i="95" s="1"/>
  <c r="AW242" i="95" s="1"/>
  <c r="AU242" i="95"/>
  <c r="AS242" i="95"/>
  <c r="AX242" i="95" s="1"/>
  <c r="Q242" i="95"/>
  <c r="BC241" i="95"/>
  <c r="AW241" i="95"/>
  <c r="AV241" i="95"/>
  <c r="AU241" i="95"/>
  <c r="AS241" i="95"/>
  <c r="AX241" i="95" s="1"/>
  <c r="AY241" i="95" s="1"/>
  <c r="AE241" i="95"/>
  <c r="Q241" i="95"/>
  <c r="BC240" i="95"/>
  <c r="AU240" i="95"/>
  <c r="AI240" i="95"/>
  <c r="AE240" i="95"/>
  <c r="AR240" i="95" s="1"/>
  <c r="Q240" i="95"/>
  <c r="BC239" i="95"/>
  <c r="X239" i="95" s="1"/>
  <c r="AS239" i="95"/>
  <c r="AX239" i="95" s="1"/>
  <c r="AD239" i="95"/>
  <c r="AC239" i="95"/>
  <c r="AA239" i="95"/>
  <c r="Z239" i="95"/>
  <c r="Q239" i="95"/>
  <c r="AU239" i="95" s="1"/>
  <c r="BC238" i="95"/>
  <c r="AX238" i="95"/>
  <c r="AV238" i="95"/>
  <c r="AW238" i="95" s="1"/>
  <c r="AU238" i="95"/>
  <c r="AS238" i="95"/>
  <c r="AE238" i="95"/>
  <c r="Q238" i="95"/>
  <c r="BC237" i="95"/>
  <c r="AV237" i="95"/>
  <c r="AU237" i="95"/>
  <c r="AS237" i="95"/>
  <c r="AX237" i="95" s="1"/>
  <c r="AY237" i="95" s="1"/>
  <c r="AE237" i="95"/>
  <c r="Q237" i="95"/>
  <c r="BC236" i="95"/>
  <c r="AS236" i="95"/>
  <c r="AX236" i="95" s="1"/>
  <c r="AD236" i="95"/>
  <c r="AC236" i="95"/>
  <c r="AA236" i="95"/>
  <c r="Z236" i="95"/>
  <c r="X236" i="95"/>
  <c r="Q236" i="95"/>
  <c r="AU236" i="95" s="1"/>
  <c r="BC235" i="95"/>
  <c r="AS235" i="95"/>
  <c r="AX235" i="95" s="1"/>
  <c r="AE235" i="95"/>
  <c r="AV235" i="95" s="1"/>
  <c r="Q235" i="95"/>
  <c r="AU235" i="95" s="1"/>
  <c r="BC234" i="95"/>
  <c r="AX234" i="95"/>
  <c r="AY234" i="95" s="1"/>
  <c r="AS234" i="95"/>
  <c r="AE234" i="95"/>
  <c r="AV234" i="95" s="1"/>
  <c r="Q234" i="95"/>
  <c r="AU234" i="95" s="1"/>
  <c r="AW234" i="95" s="1"/>
  <c r="BC233" i="95"/>
  <c r="AY233" i="95"/>
  <c r="AX233" i="95"/>
  <c r="AV233" i="95"/>
  <c r="AS233" i="95"/>
  <c r="Q233" i="95"/>
  <c r="AU233" i="95" s="1"/>
  <c r="BC232" i="95"/>
  <c r="AX232" i="95"/>
  <c r="AW232" i="95"/>
  <c r="AV232" i="95"/>
  <c r="AS232" i="95"/>
  <c r="Q232" i="95"/>
  <c r="AU232" i="95" s="1"/>
  <c r="BC231" i="95"/>
  <c r="AX231" i="95"/>
  <c r="AY231" i="95" s="1"/>
  <c r="AU231" i="95"/>
  <c r="AS231" i="95"/>
  <c r="AE231" i="95"/>
  <c r="AV231" i="95" s="1"/>
  <c r="Q231" i="95"/>
  <c r="BC230" i="95"/>
  <c r="AA230" i="95" s="1"/>
  <c r="AS230" i="95"/>
  <c r="AX230" i="95" s="1"/>
  <c r="AD230" i="95"/>
  <c r="AC230" i="95"/>
  <c r="AB230" i="95"/>
  <c r="Z230" i="95"/>
  <c r="Y230" i="95"/>
  <c r="X230" i="95"/>
  <c r="Q230" i="95"/>
  <c r="AU230" i="95" s="1"/>
  <c r="BC229" i="95"/>
  <c r="AU229" i="95"/>
  <c r="AR229" i="95"/>
  <c r="AQ229" i="95"/>
  <c r="AP229" i="95"/>
  <c r="AO229" i="95"/>
  <c r="AN229" i="95"/>
  <c r="AM229" i="95"/>
  <c r="AL229" i="95"/>
  <c r="AK229" i="95"/>
  <c r="AJ229" i="95"/>
  <c r="AI229" i="95"/>
  <c r="AH229" i="95"/>
  <c r="AG229" i="95"/>
  <c r="AD229" i="95"/>
  <c r="AC229" i="95"/>
  <c r="AB229" i="95"/>
  <c r="AA229" i="95"/>
  <c r="Z229" i="95"/>
  <c r="Y229" i="95"/>
  <c r="X229" i="95"/>
  <c r="W229" i="95"/>
  <c r="Q229" i="95"/>
  <c r="BC228" i="95"/>
  <c r="AY228" i="95"/>
  <c r="AX228" i="95"/>
  <c r="AV228" i="95"/>
  <c r="AW228" i="95" s="1"/>
  <c r="AU228" i="95"/>
  <c r="AS228" i="95"/>
  <c r="AE228" i="95"/>
  <c r="Q228" i="95"/>
  <c r="BC227" i="95"/>
  <c r="AY227" i="95"/>
  <c r="AV227" i="95"/>
  <c r="AW227" i="95" s="1"/>
  <c r="AS227" i="95"/>
  <c r="AX227" i="95" s="1"/>
  <c r="AE227" i="95"/>
  <c r="Q227" i="95"/>
  <c r="AU227" i="95" s="1"/>
  <c r="BC226" i="95"/>
  <c r="AS226" i="95"/>
  <c r="AX226" i="95" s="1"/>
  <c r="AE226" i="95"/>
  <c r="AV226" i="95" s="1"/>
  <c r="AW226" i="95" s="1"/>
  <c r="Q226" i="95"/>
  <c r="AU226" i="95" s="1"/>
  <c r="BC225" i="95"/>
  <c r="AU225" i="95"/>
  <c r="AR225" i="95"/>
  <c r="AQ225" i="95"/>
  <c r="AP225" i="95"/>
  <c r="AO225" i="95"/>
  <c r="AN225" i="95"/>
  <c r="AM225" i="95"/>
  <c r="AL225" i="95"/>
  <c r="AK225" i="95"/>
  <c r="AJ225" i="95"/>
  <c r="AI225" i="95"/>
  <c r="AH225" i="95"/>
  <c r="AG225" i="95"/>
  <c r="Q225" i="95"/>
  <c r="BC224" i="95"/>
  <c r="AW224" i="95"/>
  <c r="AV224" i="95"/>
  <c r="AU224" i="95"/>
  <c r="AS224" i="95"/>
  <c r="AX224" i="95" s="1"/>
  <c r="AE224" i="95"/>
  <c r="Q224" i="95"/>
  <c r="BC223" i="95"/>
  <c r="AX223" i="95"/>
  <c r="AY223" i="95" s="1"/>
  <c r="AV223" i="95"/>
  <c r="AS223" i="95"/>
  <c r="AE223" i="95"/>
  <c r="Q223" i="95"/>
  <c r="AU223" i="95" s="1"/>
  <c r="AW223" i="95" s="1"/>
  <c r="BC222" i="95"/>
  <c r="AX222" i="95"/>
  <c r="AY222" i="95" s="1"/>
  <c r="AU222" i="95"/>
  <c r="AS222" i="95"/>
  <c r="AE222" i="95"/>
  <c r="AV222" i="95" s="1"/>
  <c r="AW222" i="95" s="1"/>
  <c r="Q222" i="95"/>
  <c r="BC221" i="95"/>
  <c r="AX221" i="95"/>
  <c r="AU221" i="95"/>
  <c r="AS221" i="95"/>
  <c r="AE221" i="95"/>
  <c r="AV221" i="95" s="1"/>
  <c r="AW221" i="95" s="1"/>
  <c r="Q221" i="95"/>
  <c r="BC220" i="95"/>
  <c r="AY220" i="95"/>
  <c r="AV220" i="95"/>
  <c r="AS220" i="95"/>
  <c r="AX220" i="95" s="1"/>
  <c r="AE220" i="95"/>
  <c r="Q220" i="95"/>
  <c r="AU220" i="95" s="1"/>
  <c r="BC219" i="95"/>
  <c r="AX219" i="95"/>
  <c r="AU219" i="95"/>
  <c r="AS219" i="95"/>
  <c r="Y219" i="95"/>
  <c r="W219" i="95"/>
  <c r="Q219" i="95"/>
  <c r="BC218" i="95"/>
  <c r="AX218" i="95"/>
  <c r="AS218" i="95"/>
  <c r="AE218" i="95"/>
  <c r="AV218" i="95" s="1"/>
  <c r="Q218" i="95"/>
  <c r="AU218" i="95" s="1"/>
  <c r="BC217" i="95"/>
  <c r="AX217" i="95"/>
  <c r="AY217" i="95" s="1"/>
  <c r="AV217" i="95"/>
  <c r="AW217" i="95" s="1"/>
  <c r="AS217" i="95"/>
  <c r="AE217" i="95"/>
  <c r="Q217" i="95"/>
  <c r="AU217" i="95" s="1"/>
  <c r="BC216" i="95"/>
  <c r="AU216" i="95"/>
  <c r="AS216" i="95"/>
  <c r="AX216" i="95" s="1"/>
  <c r="AY216" i="95" s="1"/>
  <c r="AE216" i="95"/>
  <c r="AV216" i="95" s="1"/>
  <c r="AW216" i="95" s="1"/>
  <c r="Q216" i="95"/>
  <c r="BC215" i="95"/>
  <c r="AU215" i="95"/>
  <c r="AS215" i="95"/>
  <c r="AX215" i="95" s="1"/>
  <c r="AE215" i="95"/>
  <c r="AV215" i="95" s="1"/>
  <c r="AW215" i="95" s="1"/>
  <c r="Q215" i="95"/>
  <c r="BC214" i="95"/>
  <c r="AC214" i="95" s="1"/>
  <c r="AU214" i="95"/>
  <c r="AS214" i="95"/>
  <c r="AX214" i="95" s="1"/>
  <c r="Y214" i="95"/>
  <c r="Q214" i="95"/>
  <c r="BC213" i="95"/>
  <c r="AU213" i="95"/>
  <c r="AW213" i="95" s="1"/>
  <c r="AS213" i="95"/>
  <c r="AX213" i="95" s="1"/>
  <c r="AE213" i="95"/>
  <c r="AV213" i="95" s="1"/>
  <c r="Q213" i="95"/>
  <c r="BC212" i="95"/>
  <c r="AU212" i="95"/>
  <c r="AS212" i="95"/>
  <c r="AX212" i="95" s="1"/>
  <c r="AE212" i="95"/>
  <c r="AV212" i="95" s="1"/>
  <c r="AW212" i="95" s="1"/>
  <c r="Q212" i="95"/>
  <c r="BC211" i="95"/>
  <c r="AU211" i="95"/>
  <c r="AS211" i="95"/>
  <c r="AX211" i="95" s="1"/>
  <c r="AC211" i="95"/>
  <c r="AA211" i="95"/>
  <c r="Y211" i="95"/>
  <c r="X211" i="95"/>
  <c r="W211" i="95"/>
  <c r="Q211" i="95"/>
  <c r="BC210" i="95"/>
  <c r="AV210" i="95"/>
  <c r="AS210" i="95"/>
  <c r="AX210" i="95" s="1"/>
  <c r="AY210" i="95" s="1"/>
  <c r="AE210" i="95"/>
  <c r="Q210" i="95"/>
  <c r="AU210" i="95" s="1"/>
  <c r="BC209" i="95"/>
  <c r="AY209" i="95"/>
  <c r="AV209" i="95"/>
  <c r="AU209" i="95"/>
  <c r="AW209" i="95" s="1"/>
  <c r="AS209" i="95"/>
  <c r="AX209" i="95" s="1"/>
  <c r="AE209" i="95"/>
  <c r="Q209" i="95"/>
  <c r="BC208" i="95"/>
  <c r="AD208" i="95" s="1"/>
  <c r="AE208" i="95" s="1"/>
  <c r="AV208" i="95" s="1"/>
  <c r="AW208" i="95" s="1"/>
  <c r="AU208" i="95"/>
  <c r="AS208" i="95"/>
  <c r="AX208" i="95" s="1"/>
  <c r="Q208" i="95"/>
  <c r="BC207" i="95"/>
  <c r="AX207" i="95"/>
  <c r="AW207" i="95"/>
  <c r="AV207" i="95"/>
  <c r="AS207" i="95"/>
  <c r="AE207" i="95"/>
  <c r="Q207" i="95"/>
  <c r="AU207" i="95" s="1"/>
  <c r="BC206" i="95"/>
  <c r="AX206" i="95"/>
  <c r="AV206" i="95"/>
  <c r="AS206" i="95"/>
  <c r="AE206" i="95"/>
  <c r="Q206" i="95"/>
  <c r="AU206" i="95" s="1"/>
  <c r="AW206" i="95" s="1"/>
  <c r="BC205" i="95"/>
  <c r="AX205" i="95"/>
  <c r="AY205" i="95" s="1"/>
  <c r="AW205" i="95"/>
  <c r="AU205" i="95"/>
  <c r="AS205" i="95"/>
  <c r="AE205" i="95"/>
  <c r="AV205" i="95" s="1"/>
  <c r="Q205" i="95"/>
  <c r="BC204" i="95"/>
  <c r="X204" i="95" s="1"/>
  <c r="AX204" i="95"/>
  <c r="AS204" i="95"/>
  <c r="AB204" i="95"/>
  <c r="Z204" i="95"/>
  <c r="Q204" i="95"/>
  <c r="AU204" i="95" s="1"/>
  <c r="BC203" i="95"/>
  <c r="AA203" i="95" s="1"/>
  <c r="AX203" i="95"/>
  <c r="AS203" i="95"/>
  <c r="AD203" i="95"/>
  <c r="AC203" i="95"/>
  <c r="Q203" i="95"/>
  <c r="AU203" i="95" s="1"/>
  <c r="BC202" i="95"/>
  <c r="AV202" i="95"/>
  <c r="AW202" i="95" s="1"/>
  <c r="AS202" i="95"/>
  <c r="AX202" i="95" s="1"/>
  <c r="AE202" i="95"/>
  <c r="Q202" i="95"/>
  <c r="AU202" i="95" s="1"/>
  <c r="BC201" i="95"/>
  <c r="AU201" i="95"/>
  <c r="AS201" i="95"/>
  <c r="AX201" i="95" s="1"/>
  <c r="AY201" i="95" s="1"/>
  <c r="AE201" i="95"/>
  <c r="AV201" i="95" s="1"/>
  <c r="AW201" i="95" s="1"/>
  <c r="Q201" i="95"/>
  <c r="BC200" i="95"/>
  <c r="AX200" i="95"/>
  <c r="AV200" i="95"/>
  <c r="AS200" i="95"/>
  <c r="AE200" i="95"/>
  <c r="Q200" i="95"/>
  <c r="AU200" i="95" s="1"/>
  <c r="BC199" i="95"/>
  <c r="AU199" i="95"/>
  <c r="AS199" i="95"/>
  <c r="AE199" i="95"/>
  <c r="AV199" i="95" s="1"/>
  <c r="AW199" i="95" s="1"/>
  <c r="Q199" i="95"/>
  <c r="BC198" i="95"/>
  <c r="AR198" i="95"/>
  <c r="AQ198" i="95"/>
  <c r="AP198" i="95"/>
  <c r="AO198" i="95"/>
  <c r="AN198" i="95"/>
  <c r="AM198" i="95"/>
  <c r="AL198" i="95"/>
  <c r="AK198" i="95"/>
  <c r="AJ198" i="95"/>
  <c r="AI198" i="95"/>
  <c r="AH198" i="95"/>
  <c r="AG198" i="95"/>
  <c r="AD198" i="95"/>
  <c r="AC198" i="95"/>
  <c r="AB198" i="95"/>
  <c r="AA198" i="95"/>
  <c r="Z198" i="95"/>
  <c r="Y198" i="95"/>
  <c r="X198" i="95"/>
  <c r="W198" i="95"/>
  <c r="AE198" i="95" s="1"/>
  <c r="AV198" i="95" s="1"/>
  <c r="AW198" i="95" s="1"/>
  <c r="Q198" i="95"/>
  <c r="AU198" i="95" s="1"/>
  <c r="BC197" i="95"/>
  <c r="AU197" i="95"/>
  <c r="AS197" i="95"/>
  <c r="AX197" i="95" s="1"/>
  <c r="AY197" i="95" s="1"/>
  <c r="AE197" i="95"/>
  <c r="AV197" i="95" s="1"/>
  <c r="Q197" i="95"/>
  <c r="BC196" i="95"/>
  <c r="AV196" i="95"/>
  <c r="AS196" i="95"/>
  <c r="AX196" i="95" s="1"/>
  <c r="AY196" i="95" s="1"/>
  <c r="AE196" i="95"/>
  <c r="Q196" i="95"/>
  <c r="AU196" i="95" s="1"/>
  <c r="BC195" i="95"/>
  <c r="AU195" i="95"/>
  <c r="AS195" i="95"/>
  <c r="AX195" i="95" s="1"/>
  <c r="AE195" i="95"/>
  <c r="AV195" i="95" s="1"/>
  <c r="AW195" i="95" s="1"/>
  <c r="Q195" i="95"/>
  <c r="BC194" i="95"/>
  <c r="AU194" i="95"/>
  <c r="AS194" i="95"/>
  <c r="AX194" i="95" s="1"/>
  <c r="AE194" i="95"/>
  <c r="AV194" i="95" s="1"/>
  <c r="AW194" i="95" s="1"/>
  <c r="Q194" i="95"/>
  <c r="BC193" i="95"/>
  <c r="AV193" i="95"/>
  <c r="AW193" i="95" s="1"/>
  <c r="AS193" i="95"/>
  <c r="AX193" i="95" s="1"/>
  <c r="AY193" i="95" s="1"/>
  <c r="AE193" i="95"/>
  <c r="Q193" i="95"/>
  <c r="AU193" i="95" s="1"/>
  <c r="BC192" i="95"/>
  <c r="AY192" i="95"/>
  <c r="AX192" i="95"/>
  <c r="AU192" i="95"/>
  <c r="AW192" i="95" s="1"/>
  <c r="AS192" i="95"/>
  <c r="AE192" i="95"/>
  <c r="AV192" i="95" s="1"/>
  <c r="Q192" i="95"/>
  <c r="BC191" i="95"/>
  <c r="AV191" i="95"/>
  <c r="AW191" i="95" s="1"/>
  <c r="AS191" i="95"/>
  <c r="AX191" i="95" s="1"/>
  <c r="AY191" i="95" s="1"/>
  <c r="AE191" i="95"/>
  <c r="Q191" i="95"/>
  <c r="AU191" i="95" s="1"/>
  <c r="BC190" i="95"/>
  <c r="AY190" i="95"/>
  <c r="AX190" i="95"/>
  <c r="AU190" i="95"/>
  <c r="AS190" i="95"/>
  <c r="AE190" i="95"/>
  <c r="AV190" i="95" s="1"/>
  <c r="AW190" i="95" s="1"/>
  <c r="Q190" i="95"/>
  <c r="BC189" i="95"/>
  <c r="AX189" i="95"/>
  <c r="AV189" i="95"/>
  <c r="AW189" i="95" s="1"/>
  <c r="AS189" i="95"/>
  <c r="AE189" i="95"/>
  <c r="Q189" i="95"/>
  <c r="AU189" i="95" s="1"/>
  <c r="BC188" i="95"/>
  <c r="AW188" i="95"/>
  <c r="AU188" i="95"/>
  <c r="AS188" i="95"/>
  <c r="AX188" i="95" s="1"/>
  <c r="AY188" i="95" s="1"/>
  <c r="AE188" i="95"/>
  <c r="AV188" i="95" s="1"/>
  <c r="Q188" i="95"/>
  <c r="BC187" i="95"/>
  <c r="AU187" i="95"/>
  <c r="AS187" i="95"/>
  <c r="AX187" i="95" s="1"/>
  <c r="AE187" i="95"/>
  <c r="AV187" i="95" s="1"/>
  <c r="AW187" i="95" s="1"/>
  <c r="Q187" i="95"/>
  <c r="BC186" i="95"/>
  <c r="AX186" i="95"/>
  <c r="AV186" i="95"/>
  <c r="AS186" i="95"/>
  <c r="AE186" i="95"/>
  <c r="Q186" i="95"/>
  <c r="AU186" i="95" s="1"/>
  <c r="BC185" i="95"/>
  <c r="AU185" i="95"/>
  <c r="AS185" i="95"/>
  <c r="AX185" i="95" s="1"/>
  <c r="AE185" i="95"/>
  <c r="AV185" i="95" s="1"/>
  <c r="Q185" i="95"/>
  <c r="BC184" i="95"/>
  <c r="AV184" i="95"/>
  <c r="AW184" i="95" s="1"/>
  <c r="AS184" i="95"/>
  <c r="AX184" i="95" s="1"/>
  <c r="AY184" i="95" s="1"/>
  <c r="AE184" i="95"/>
  <c r="Q184" i="95"/>
  <c r="AU184" i="95" s="1"/>
  <c r="BC183" i="95"/>
  <c r="AX183" i="95"/>
  <c r="AW183" i="95"/>
  <c r="AV183" i="95"/>
  <c r="AS183" i="95"/>
  <c r="AE183" i="95"/>
  <c r="Q183" i="95"/>
  <c r="AU183" i="95" s="1"/>
  <c r="BC182" i="95"/>
  <c r="AX182" i="95"/>
  <c r="AY182" i="95" s="1"/>
  <c r="AU182" i="95"/>
  <c r="AS182" i="95"/>
  <c r="AE182" i="95"/>
  <c r="AV182" i="95" s="1"/>
  <c r="AW182" i="95" s="1"/>
  <c r="Q182" i="95"/>
  <c r="BC181" i="95"/>
  <c r="AX181" i="95"/>
  <c r="AY181" i="95" s="1"/>
  <c r="AV181" i="95"/>
  <c r="AS181" i="95"/>
  <c r="AE181" i="95"/>
  <c r="Q181" i="95"/>
  <c r="AU181" i="95" s="1"/>
  <c r="BC180" i="95"/>
  <c r="AX180" i="95"/>
  <c r="AV180" i="95"/>
  <c r="AW180" i="95" s="1"/>
  <c r="AS180" i="95"/>
  <c r="AE180" i="95"/>
  <c r="Q180" i="95"/>
  <c r="AU180" i="95" s="1"/>
  <c r="BC179" i="95"/>
  <c r="AY179" i="95"/>
  <c r="AX179" i="95"/>
  <c r="AW179" i="95"/>
  <c r="AU179" i="95"/>
  <c r="AS179" i="95"/>
  <c r="AE179" i="95"/>
  <c r="AV179" i="95" s="1"/>
  <c r="Q179" i="95"/>
  <c r="BC178" i="95"/>
  <c r="AX178" i="95"/>
  <c r="AU178" i="95"/>
  <c r="AS178" i="95"/>
  <c r="AE178" i="95"/>
  <c r="AV178" i="95" s="1"/>
  <c r="AW178" i="95" s="1"/>
  <c r="Q178" i="95"/>
  <c r="BC177" i="95"/>
  <c r="AX177" i="95"/>
  <c r="AS177" i="95"/>
  <c r="AE177" i="95"/>
  <c r="AV177" i="95" s="1"/>
  <c r="AW177" i="95" s="1"/>
  <c r="Q177" i="95"/>
  <c r="AU177" i="95" s="1"/>
  <c r="BC176" i="95"/>
  <c r="AU176" i="95"/>
  <c r="AW176" i="95" s="1"/>
  <c r="AS176" i="95"/>
  <c r="AX176" i="95" s="1"/>
  <c r="AY176" i="95" s="1"/>
  <c r="AE176" i="95"/>
  <c r="AV176" i="95" s="1"/>
  <c r="Q176" i="95"/>
  <c r="BC175" i="95"/>
  <c r="AV175" i="95"/>
  <c r="AW175" i="95" s="1"/>
  <c r="AU175" i="95"/>
  <c r="AS175" i="95"/>
  <c r="AX175" i="95" s="1"/>
  <c r="AY175" i="95" s="1"/>
  <c r="AE175" i="95"/>
  <c r="Q175" i="95"/>
  <c r="BC174" i="95"/>
  <c r="AU174" i="95"/>
  <c r="AS174" i="95"/>
  <c r="AX174" i="95" s="1"/>
  <c r="AY174" i="95" s="1"/>
  <c r="AE174" i="95"/>
  <c r="AV174" i="95" s="1"/>
  <c r="AW174" i="95" s="1"/>
  <c r="Q174" i="95"/>
  <c r="BC173" i="95"/>
  <c r="AX173" i="95"/>
  <c r="AY173" i="95" s="1"/>
  <c r="AW173" i="95"/>
  <c r="AV173" i="95"/>
  <c r="AS173" i="95"/>
  <c r="AE173" i="95"/>
  <c r="Q173" i="95"/>
  <c r="AU173" i="95" s="1"/>
  <c r="BC172" i="95"/>
  <c r="AY172" i="95"/>
  <c r="AX172" i="95"/>
  <c r="AW172" i="95"/>
  <c r="AU172" i="95"/>
  <c r="AS172" i="95"/>
  <c r="AE172" i="95"/>
  <c r="AV172" i="95" s="1"/>
  <c r="Q172" i="95"/>
  <c r="BC171" i="95"/>
  <c r="AY171" i="95"/>
  <c r="AX171" i="95"/>
  <c r="AV171" i="95"/>
  <c r="AW171" i="95" s="1"/>
  <c r="AS171" i="95"/>
  <c r="AE171" i="95"/>
  <c r="Q171" i="95"/>
  <c r="AU171" i="95" s="1"/>
  <c r="BC170" i="95"/>
  <c r="AX170" i="95"/>
  <c r="AU170" i="95"/>
  <c r="AW170" i="95" s="1"/>
  <c r="AS170" i="95"/>
  <c r="AE170" i="95"/>
  <c r="AV170" i="95" s="1"/>
  <c r="AY170" i="95" s="1"/>
  <c r="Q170" i="95"/>
  <c r="BC169" i="95"/>
  <c r="AV169" i="95"/>
  <c r="AW169" i="95" s="1"/>
  <c r="AS169" i="95"/>
  <c r="AX169" i="95" s="1"/>
  <c r="AE169" i="95"/>
  <c r="Q169" i="95"/>
  <c r="AU169" i="95" s="1"/>
  <c r="BC168" i="95"/>
  <c r="AU168" i="95"/>
  <c r="AS168" i="95"/>
  <c r="AE168" i="95"/>
  <c r="AV168" i="95" s="1"/>
  <c r="AW168" i="95" s="1"/>
  <c r="Q168" i="95"/>
  <c r="BC167" i="95"/>
  <c r="AX167" i="95"/>
  <c r="AV167" i="95"/>
  <c r="AS167" i="95"/>
  <c r="AE167" i="95"/>
  <c r="Q167" i="95"/>
  <c r="AU167" i="95" s="1"/>
  <c r="BC166" i="95"/>
  <c r="AU166" i="95"/>
  <c r="AR166" i="95"/>
  <c r="AQ166" i="95"/>
  <c r="AP166" i="95"/>
  <c r="AO166" i="95"/>
  <c r="AN166" i="95"/>
  <c r="AM166" i="95"/>
  <c r="AL166" i="95"/>
  <c r="AK166" i="95"/>
  <c r="AJ166" i="95"/>
  <c r="AI166" i="95"/>
  <c r="AH166" i="95"/>
  <c r="AG166" i="95"/>
  <c r="AD166" i="95"/>
  <c r="AC166" i="95"/>
  <c r="AB166" i="95"/>
  <c r="AA166" i="95"/>
  <c r="Z166" i="95"/>
  <c r="Y166" i="95"/>
  <c r="X166" i="95"/>
  <c r="W166" i="95"/>
  <c r="AE166" i="95" s="1"/>
  <c r="AV166" i="95" s="1"/>
  <c r="AW166" i="95" s="1"/>
  <c r="Q166" i="95"/>
  <c r="BC165" i="95"/>
  <c r="AS165" i="95"/>
  <c r="AX165" i="95" s="1"/>
  <c r="AY165" i="95" s="1"/>
  <c r="AE165" i="95"/>
  <c r="AV165" i="95" s="1"/>
  <c r="AW165" i="95" s="1"/>
  <c r="Q165" i="95"/>
  <c r="AU165" i="95" s="1"/>
  <c r="BC164" i="95"/>
  <c r="AU164" i="95"/>
  <c r="AS164" i="95"/>
  <c r="AX164" i="95" s="1"/>
  <c r="AE164" i="95"/>
  <c r="AV164" i="95" s="1"/>
  <c r="Q164" i="95"/>
  <c r="BC163" i="95"/>
  <c r="AV163" i="95"/>
  <c r="AS163" i="95"/>
  <c r="AX163" i="95" s="1"/>
  <c r="AY163" i="95" s="1"/>
  <c r="AE163" i="95"/>
  <c r="Q163" i="95"/>
  <c r="AU163" i="95" s="1"/>
  <c r="BC162" i="95"/>
  <c r="AY162" i="95"/>
  <c r="AV162" i="95"/>
  <c r="AU162" i="95"/>
  <c r="AW162" i="95" s="1"/>
  <c r="AS162" i="95"/>
  <c r="AX162" i="95" s="1"/>
  <c r="AE162" i="95"/>
  <c r="Q162" i="95"/>
  <c r="BC161" i="95"/>
  <c r="AU161" i="95"/>
  <c r="AS161" i="95"/>
  <c r="AX161" i="95" s="1"/>
  <c r="AE161" i="95"/>
  <c r="AV161" i="95" s="1"/>
  <c r="AW161" i="95" s="1"/>
  <c r="Q161" i="95"/>
  <c r="BC160" i="95"/>
  <c r="AU160" i="95"/>
  <c r="AS160" i="95"/>
  <c r="AX160" i="95" s="1"/>
  <c r="AE160" i="95"/>
  <c r="AV160" i="95" s="1"/>
  <c r="AW160" i="95" s="1"/>
  <c r="Q160" i="95"/>
  <c r="BC159" i="95"/>
  <c r="AX159" i="95"/>
  <c r="AY159" i="95" s="1"/>
  <c r="AV159" i="95"/>
  <c r="AW159" i="95" s="1"/>
  <c r="AS159" i="95"/>
  <c r="AE159" i="95"/>
  <c r="Q159" i="95"/>
  <c r="AU159" i="95" s="1"/>
  <c r="BC158" i="95"/>
  <c r="AX158" i="95"/>
  <c r="AU158" i="95"/>
  <c r="AS158" i="95"/>
  <c r="AE158" i="95"/>
  <c r="AV158" i="95" s="1"/>
  <c r="AW158" i="95" s="1"/>
  <c r="Q158" i="95"/>
  <c r="BC157" i="95"/>
  <c r="AW157" i="95"/>
  <c r="AV157" i="95"/>
  <c r="AS157" i="95"/>
  <c r="AE157" i="95"/>
  <c r="Q157" i="95"/>
  <c r="AU157" i="95" s="1"/>
  <c r="BC156" i="95"/>
  <c r="AU156" i="95"/>
  <c r="Q156" i="95"/>
  <c r="BC155" i="95"/>
  <c r="AQ155" i="95" s="1"/>
  <c r="AV155" i="95"/>
  <c r="AR155" i="95"/>
  <c r="AP155" i="95"/>
  <c r="AO155" i="95"/>
  <c r="AN155" i="95"/>
  <c r="AM155" i="95"/>
  <c r="AL155" i="95"/>
  <c r="AK155" i="95"/>
  <c r="AJ155" i="95"/>
  <c r="AI155" i="95"/>
  <c r="AH155" i="95"/>
  <c r="AG155" i="95"/>
  <c r="AE155" i="95"/>
  <c r="Q155" i="95"/>
  <c r="AU155" i="95" s="1"/>
  <c r="AW155" i="95" s="1"/>
  <c r="BC154" i="95"/>
  <c r="AX154" i="95"/>
  <c r="AS154" i="95"/>
  <c r="AE154" i="95"/>
  <c r="AV154" i="95" s="1"/>
  <c r="Q154" i="95"/>
  <c r="AU154" i="95" s="1"/>
  <c r="BC153" i="95"/>
  <c r="AR153" i="95" s="1"/>
  <c r="AQ153" i="95"/>
  <c r="AN153" i="95"/>
  <c r="AK153" i="95"/>
  <c r="AI153" i="95"/>
  <c r="AE153" i="95"/>
  <c r="AV153" i="95" s="1"/>
  <c r="AW153" i="95" s="1"/>
  <c r="Q153" i="95"/>
  <c r="AU153" i="95" s="1"/>
  <c r="BC152" i="95"/>
  <c r="AY152" i="95"/>
  <c r="AU152" i="95"/>
  <c r="AS152" i="95"/>
  <c r="AX152" i="95" s="1"/>
  <c r="AE152" i="95"/>
  <c r="AV152" i="95" s="1"/>
  <c r="AW152" i="95" s="1"/>
  <c r="Q152" i="95"/>
  <c r="BC151" i="95"/>
  <c r="AU151" i="95"/>
  <c r="AS151" i="95"/>
  <c r="AX151" i="95" s="1"/>
  <c r="AE151" i="95"/>
  <c r="AV151" i="95" s="1"/>
  <c r="Q151" i="95"/>
  <c r="BC150" i="95"/>
  <c r="AP150" i="95" s="1"/>
  <c r="AH150" i="95"/>
  <c r="AE150" i="95"/>
  <c r="AV150" i="95" s="1"/>
  <c r="AW150" i="95" s="1"/>
  <c r="Q150" i="95"/>
  <c r="AU150" i="95" s="1"/>
  <c r="BC149" i="95"/>
  <c r="AV149" i="95"/>
  <c r="AW149" i="95" s="1"/>
  <c r="AU149" i="95"/>
  <c r="AS149" i="95"/>
  <c r="AX149" i="95" s="1"/>
  <c r="AE149" i="95"/>
  <c r="Q149" i="95"/>
  <c r="BC148" i="95"/>
  <c r="AV148" i="95"/>
  <c r="AS148" i="95"/>
  <c r="AX148" i="95" s="1"/>
  <c r="AY148" i="95" s="1"/>
  <c r="AE148" i="95"/>
  <c r="Q148" i="95"/>
  <c r="AU148" i="95" s="1"/>
  <c r="AW148" i="95" s="1"/>
  <c r="BC147" i="95"/>
  <c r="AL147" i="95" s="1"/>
  <c r="AV147" i="95"/>
  <c r="AW147" i="95" s="1"/>
  <c r="AR147" i="95"/>
  <c r="AQ147" i="95"/>
  <c r="AO147" i="95"/>
  <c r="AN147" i="95"/>
  <c r="AM147" i="95"/>
  <c r="AJ147" i="95"/>
  <c r="AI147" i="95"/>
  <c r="AG147" i="95"/>
  <c r="AE147" i="95"/>
  <c r="Q147" i="95"/>
  <c r="AU147" i="95" s="1"/>
  <c r="BC146" i="95"/>
  <c r="AP146" i="95" s="1"/>
  <c r="AU146" i="95"/>
  <c r="AR146" i="95"/>
  <c r="AQ146" i="95"/>
  <c r="AO146" i="95"/>
  <c r="AN146" i="95"/>
  <c r="AL146" i="95"/>
  <c r="AK146" i="95"/>
  <c r="AJ146" i="95"/>
  <c r="AI146" i="95"/>
  <c r="AG146" i="95"/>
  <c r="AE146" i="95"/>
  <c r="AV146" i="95" s="1"/>
  <c r="AW146" i="95" s="1"/>
  <c r="Q146" i="95"/>
  <c r="BC145" i="95"/>
  <c r="AQ145" i="95" s="1"/>
  <c r="AU145" i="95"/>
  <c r="AE145" i="95"/>
  <c r="AV145" i="95" s="1"/>
  <c r="AW145" i="95" s="1"/>
  <c r="Q145" i="95"/>
  <c r="BC144" i="95"/>
  <c r="AL144" i="95" s="1"/>
  <c r="AV144" i="95"/>
  <c r="AW144" i="95" s="1"/>
  <c r="AP144" i="95"/>
  <c r="AM144" i="95"/>
  <c r="AH144" i="95"/>
  <c r="AE144" i="95"/>
  <c r="Q144" i="95"/>
  <c r="AU144" i="95" s="1"/>
  <c r="BC143" i="95"/>
  <c r="AN143" i="95" s="1"/>
  <c r="AU143" i="95"/>
  <c r="AQ143" i="95"/>
  <c r="AP143" i="95"/>
  <c r="AO143" i="95"/>
  <c r="AL143" i="95"/>
  <c r="AI143" i="95"/>
  <c r="AH143" i="95"/>
  <c r="AG143" i="95"/>
  <c r="AE143" i="95"/>
  <c r="AV143" i="95" s="1"/>
  <c r="AW143" i="95" s="1"/>
  <c r="Q143" i="95"/>
  <c r="BC142" i="95"/>
  <c r="W142" i="95" s="1"/>
  <c r="AU142" i="95"/>
  <c r="AS142" i="95"/>
  <c r="AX142" i="95" s="1"/>
  <c r="Q142" i="95"/>
  <c r="BC141" i="95"/>
  <c r="AX141" i="95"/>
  <c r="AY141" i="95" s="1"/>
  <c r="AV141" i="95"/>
  <c r="AU141" i="95"/>
  <c r="AW141" i="95" s="1"/>
  <c r="AS141" i="95"/>
  <c r="AE141" i="95"/>
  <c r="Q141" i="95"/>
  <c r="BC140" i="95"/>
  <c r="AN140" i="95" s="1"/>
  <c r="AU140" i="95"/>
  <c r="AQ140" i="95"/>
  <c r="AP140" i="95"/>
  <c r="AO140" i="95"/>
  <c r="AL140" i="95"/>
  <c r="AI140" i="95"/>
  <c r="AH140" i="95"/>
  <c r="AG140" i="95"/>
  <c r="AE140" i="95"/>
  <c r="AV140" i="95" s="1"/>
  <c r="Q140" i="95"/>
  <c r="BC139" i="95"/>
  <c r="AQ139" i="95" s="1"/>
  <c r="AW139" i="95"/>
  <c r="AU139" i="95"/>
  <c r="AE139" i="95"/>
  <c r="AV139" i="95" s="1"/>
  <c r="Q139" i="95"/>
  <c r="BC138" i="95"/>
  <c r="AS138" i="95"/>
  <c r="AX138" i="95" s="1"/>
  <c r="AE138" i="95"/>
  <c r="AV138" i="95" s="1"/>
  <c r="AW138" i="95" s="1"/>
  <c r="Q138" i="95"/>
  <c r="AU138" i="95" s="1"/>
  <c r="BC137" i="95"/>
  <c r="AP137" i="95" s="1"/>
  <c r="AU137" i="95"/>
  <c r="AR137" i="95"/>
  <c r="AQ137" i="95"/>
  <c r="AO137" i="95"/>
  <c r="AN137" i="95"/>
  <c r="AL137" i="95"/>
  <c r="AK137" i="95"/>
  <c r="AJ137" i="95"/>
  <c r="AI137" i="95"/>
  <c r="AG137" i="95"/>
  <c r="AE137" i="95"/>
  <c r="AV137" i="95" s="1"/>
  <c r="Q137" i="95"/>
  <c r="BC136" i="95"/>
  <c r="AG136" i="95" s="1"/>
  <c r="AP136" i="95"/>
  <c r="AO136" i="95"/>
  <c r="AH136" i="95"/>
  <c r="Y136" i="95"/>
  <c r="X136" i="95"/>
  <c r="Q136" i="95"/>
  <c r="AU136" i="95" s="1"/>
  <c r="BC135" i="95"/>
  <c r="AM135" i="95" s="1"/>
  <c r="AU135" i="95"/>
  <c r="AR135" i="95"/>
  <c r="AQ135" i="95"/>
  <c r="AP135" i="95"/>
  <c r="AO135" i="95"/>
  <c r="AN135" i="95"/>
  <c r="AL135" i="95"/>
  <c r="AK135" i="95"/>
  <c r="AJ135" i="95"/>
  <c r="AI135" i="95"/>
  <c r="AH135" i="95"/>
  <c r="AG135" i="95"/>
  <c r="AS135" i="95" s="1"/>
  <c r="AC135" i="95"/>
  <c r="AB135" i="95"/>
  <c r="AA135" i="95"/>
  <c r="Z135" i="95"/>
  <c r="Y135" i="95"/>
  <c r="X135" i="95"/>
  <c r="X156" i="95" s="1"/>
  <c r="W135" i="95"/>
  <c r="Q135" i="95"/>
  <c r="BC134" i="95"/>
  <c r="AU134" i="95"/>
  <c r="AR134" i="95"/>
  <c r="AQ134" i="95"/>
  <c r="AP134" i="95"/>
  <c r="AO134" i="95"/>
  <c r="AN134" i="95"/>
  <c r="AM134" i="95"/>
  <c r="AL134" i="95"/>
  <c r="AK134" i="95"/>
  <c r="AJ134" i="95"/>
  <c r="AI134" i="95"/>
  <c r="AH134" i="95"/>
  <c r="AG134" i="95"/>
  <c r="Q134" i="95"/>
  <c r="BC133" i="95"/>
  <c r="AY133" i="95"/>
  <c r="AV133" i="95"/>
  <c r="AU133" i="95"/>
  <c r="AW133" i="95" s="1"/>
  <c r="AS133" i="95"/>
  <c r="AX133" i="95" s="1"/>
  <c r="AE133" i="95"/>
  <c r="Q133" i="95"/>
  <c r="BC132" i="95"/>
  <c r="AC132" i="95" s="1"/>
  <c r="AS132" i="95"/>
  <c r="AX132" i="95" s="1"/>
  <c r="Q132" i="95"/>
  <c r="AU132" i="95" s="1"/>
  <c r="BC131" i="95"/>
  <c r="AX131" i="95"/>
  <c r="AU131" i="95"/>
  <c r="AS131" i="95"/>
  <c r="AE131" i="95"/>
  <c r="AV131" i="95" s="1"/>
  <c r="AW131" i="95" s="1"/>
  <c r="W131" i="95"/>
  <c r="Q131" i="95"/>
  <c r="BC130" i="95"/>
  <c r="AX130" i="95"/>
  <c r="AS130" i="95"/>
  <c r="AE130" i="95"/>
  <c r="AV130" i="95" s="1"/>
  <c r="AW130" i="95" s="1"/>
  <c r="Q130" i="95"/>
  <c r="AU130" i="95" s="1"/>
  <c r="BC129" i="95"/>
  <c r="AX129" i="95"/>
  <c r="AY129" i="95" s="1"/>
  <c r="AS129" i="95"/>
  <c r="AE129" i="95"/>
  <c r="AV129" i="95" s="1"/>
  <c r="Q129" i="95"/>
  <c r="AU129" i="95" s="1"/>
  <c r="BC128" i="95"/>
  <c r="AX128" i="95"/>
  <c r="AV128" i="95"/>
  <c r="AS128" i="95"/>
  <c r="AE128" i="95"/>
  <c r="Q128" i="95"/>
  <c r="AU128" i="95" s="1"/>
  <c r="BC127" i="95"/>
  <c r="AX127" i="95"/>
  <c r="AU127" i="95"/>
  <c r="AS127" i="95"/>
  <c r="AE127" i="95"/>
  <c r="AV127" i="95" s="1"/>
  <c r="AW127" i="95" s="1"/>
  <c r="Q127" i="95"/>
  <c r="BC126" i="95"/>
  <c r="AS126" i="95"/>
  <c r="AX126" i="95" s="1"/>
  <c r="AE126" i="95"/>
  <c r="AV126" i="95" s="1"/>
  <c r="AW126" i="95" s="1"/>
  <c r="Q126" i="95"/>
  <c r="AU126" i="95" s="1"/>
  <c r="BC125" i="95"/>
  <c r="AB125" i="95" s="1"/>
  <c r="AS125" i="95"/>
  <c r="AX125" i="95" s="1"/>
  <c r="AD125" i="95"/>
  <c r="AC125" i="95"/>
  <c r="AA125" i="95"/>
  <c r="Z125" i="95"/>
  <c r="X125" i="95"/>
  <c r="W125" i="95"/>
  <c r="Q125" i="95"/>
  <c r="AU125" i="95" s="1"/>
  <c r="BC124" i="95"/>
  <c r="AV124" i="95"/>
  <c r="AW124" i="95" s="1"/>
  <c r="AS124" i="95"/>
  <c r="AX124" i="95" s="1"/>
  <c r="AE124" i="95"/>
  <c r="Q124" i="95"/>
  <c r="AU124" i="95" s="1"/>
  <c r="BC123" i="95"/>
  <c r="AX123" i="95"/>
  <c r="AY123" i="95" s="1"/>
  <c r="AW123" i="95"/>
  <c r="AU123" i="95"/>
  <c r="AS123" i="95"/>
  <c r="AE123" i="95"/>
  <c r="AV123" i="95" s="1"/>
  <c r="Q123" i="95"/>
  <c r="BC122" i="95"/>
  <c r="AY122" i="95"/>
  <c r="AX122" i="95"/>
  <c r="AU122" i="95"/>
  <c r="AS122" i="95"/>
  <c r="AD122" i="95"/>
  <c r="W122" i="95"/>
  <c r="AE122" i="95" s="1"/>
  <c r="AV122" i="95" s="1"/>
  <c r="AW122" i="95" s="1"/>
  <c r="Q122" i="95"/>
  <c r="BC121" i="95"/>
  <c r="AS121" i="95"/>
  <c r="AX121" i="95" s="1"/>
  <c r="AY121" i="95" s="1"/>
  <c r="AE121" i="95"/>
  <c r="AV121" i="95" s="1"/>
  <c r="Q121" i="95"/>
  <c r="AU121" i="95" s="1"/>
  <c r="AW121" i="95" s="1"/>
  <c r="BC120" i="95"/>
  <c r="AY120" i="95"/>
  <c r="AX120" i="95"/>
  <c r="AU120" i="95"/>
  <c r="AS120" i="95"/>
  <c r="AE120" i="95"/>
  <c r="AV120" i="95" s="1"/>
  <c r="AW120" i="95" s="1"/>
  <c r="Q120" i="95"/>
  <c r="BC119" i="95"/>
  <c r="AU119" i="95"/>
  <c r="AS119" i="95"/>
  <c r="AX119" i="95" s="1"/>
  <c r="AY119" i="95" s="1"/>
  <c r="AE119" i="95"/>
  <c r="AV119" i="95" s="1"/>
  <c r="Q119" i="95"/>
  <c r="BC118" i="95"/>
  <c r="AS118" i="95"/>
  <c r="AX118" i="95" s="1"/>
  <c r="AE118" i="95"/>
  <c r="AV118" i="95" s="1"/>
  <c r="AY118" i="95" s="1"/>
  <c r="Q118" i="95"/>
  <c r="AU118" i="95" s="1"/>
  <c r="BC117" i="95"/>
  <c r="AX117" i="95"/>
  <c r="AU117" i="95"/>
  <c r="AS117" i="95"/>
  <c r="AE117" i="95"/>
  <c r="AV117" i="95" s="1"/>
  <c r="AA117" i="95"/>
  <c r="W117" i="95"/>
  <c r="Q117" i="95"/>
  <c r="BC116" i="95"/>
  <c r="AU116" i="95"/>
  <c r="AS116" i="95"/>
  <c r="AX116" i="95" s="1"/>
  <c r="AD116" i="95"/>
  <c r="AC116" i="95"/>
  <c r="AB116" i="95"/>
  <c r="AA116" i="95"/>
  <c r="Z116" i="95"/>
  <c r="Y116" i="95"/>
  <c r="X116" i="95"/>
  <c r="W116" i="95"/>
  <c r="Q116" i="95"/>
  <c r="BC115" i="95"/>
  <c r="AV115" i="95"/>
  <c r="AW115" i="95" s="1"/>
  <c r="AU115" i="95"/>
  <c r="AS115" i="95"/>
  <c r="AX115" i="95" s="1"/>
  <c r="AY115" i="95" s="1"/>
  <c r="AE115" i="95"/>
  <c r="Q115" i="95"/>
  <c r="BC114" i="95"/>
  <c r="AV114" i="95"/>
  <c r="AW114" i="95" s="1"/>
  <c r="AS114" i="95"/>
  <c r="AX114" i="95" s="1"/>
  <c r="AY114" i="95" s="1"/>
  <c r="AE114" i="95"/>
  <c r="Q114" i="95"/>
  <c r="AU114" i="95" s="1"/>
  <c r="BC113" i="95"/>
  <c r="AX113" i="95"/>
  <c r="AS113" i="95"/>
  <c r="AE113" i="95"/>
  <c r="AV113" i="95" s="1"/>
  <c r="AW113" i="95" s="1"/>
  <c r="Q113" i="95"/>
  <c r="AU113" i="95" s="1"/>
  <c r="BC112" i="95"/>
  <c r="AX112" i="95"/>
  <c r="AY112" i="95" s="1"/>
  <c r="AS112" i="95"/>
  <c r="AE112" i="95"/>
  <c r="AV112" i="95" s="1"/>
  <c r="Q112" i="95"/>
  <c r="AU112" i="95" s="1"/>
  <c r="BC111" i="95"/>
  <c r="AX111" i="95"/>
  <c r="AV111" i="95"/>
  <c r="AY111" i="95" s="1"/>
  <c r="AS111" i="95"/>
  <c r="AE111" i="95"/>
  <c r="Q111" i="95"/>
  <c r="AU111" i="95" s="1"/>
  <c r="BC110" i="95"/>
  <c r="AS110" i="95"/>
  <c r="AX110" i="95" s="1"/>
  <c r="AY110" i="95" s="1"/>
  <c r="AE110" i="95"/>
  <c r="AV110" i="95" s="1"/>
  <c r="Q110" i="95"/>
  <c r="AU110" i="95" s="1"/>
  <c r="AW110" i="95" s="1"/>
  <c r="BC109" i="95"/>
  <c r="AY109" i="95"/>
  <c r="AX109" i="95"/>
  <c r="AU109" i="95"/>
  <c r="AS109" i="95"/>
  <c r="AD109" i="95"/>
  <c r="AE109" i="95" s="1"/>
  <c r="AV109" i="95" s="1"/>
  <c r="AW109" i="95" s="1"/>
  <c r="Q109" i="95"/>
  <c r="BC108" i="95"/>
  <c r="AS108" i="95"/>
  <c r="AX108" i="95" s="1"/>
  <c r="Y108" i="95"/>
  <c r="Q108" i="95"/>
  <c r="AU108" i="95" s="1"/>
  <c r="BC107" i="95"/>
  <c r="AX107" i="95"/>
  <c r="AY107" i="95" s="1"/>
  <c r="AW107" i="95"/>
  <c r="AS107" i="95"/>
  <c r="AE107" i="95"/>
  <c r="AV107" i="95" s="1"/>
  <c r="Q107" i="95"/>
  <c r="AU107" i="95" s="1"/>
  <c r="BC106" i="95"/>
  <c r="AW106" i="95"/>
  <c r="AU106" i="95"/>
  <c r="AS106" i="95"/>
  <c r="AX106" i="95" s="1"/>
  <c r="AY106" i="95" s="1"/>
  <c r="W106" i="95"/>
  <c r="AE106" i="95" s="1"/>
  <c r="AV106" i="95" s="1"/>
  <c r="Q106" i="95"/>
  <c r="BC105" i="95"/>
  <c r="AV105" i="95"/>
  <c r="AU105" i="95"/>
  <c r="AS105" i="95"/>
  <c r="AX105" i="95" s="1"/>
  <c r="X105" i="95"/>
  <c r="AE105" i="95" s="1"/>
  <c r="W105" i="95"/>
  <c r="Q105" i="95"/>
  <c r="BC104" i="95"/>
  <c r="AY104" i="95"/>
  <c r="AV104" i="95"/>
  <c r="AS104" i="95"/>
  <c r="AX104" i="95" s="1"/>
  <c r="W104" i="95"/>
  <c r="AE104" i="95" s="1"/>
  <c r="Q104" i="95"/>
  <c r="AU104" i="95" s="1"/>
  <c r="AW104" i="95" s="1"/>
  <c r="BC103" i="95"/>
  <c r="X103" i="95" s="1"/>
  <c r="AX103" i="95"/>
  <c r="AU103" i="95"/>
  <c r="AS103" i="95"/>
  <c r="AD103" i="95"/>
  <c r="AC103" i="95"/>
  <c r="AB103" i="95"/>
  <c r="AA103" i="95"/>
  <c r="Z103" i="95"/>
  <c r="Y103" i="95"/>
  <c r="W103" i="95"/>
  <c r="Q103" i="95"/>
  <c r="BC102" i="95"/>
  <c r="AX102" i="95"/>
  <c r="AY102" i="95" s="1"/>
  <c r="AS102" i="95"/>
  <c r="AE102" i="95"/>
  <c r="AV102" i="95" s="1"/>
  <c r="AW102" i="95" s="1"/>
  <c r="W102" i="95"/>
  <c r="Q102" i="95"/>
  <c r="AU102" i="95" s="1"/>
  <c r="BC101" i="95"/>
  <c r="AX101" i="95"/>
  <c r="AS101" i="95"/>
  <c r="AD101" i="95"/>
  <c r="AC101" i="95"/>
  <c r="AB101" i="95"/>
  <c r="AA101" i="95"/>
  <c r="Y101" i="95"/>
  <c r="X101" i="95"/>
  <c r="Q101" i="95"/>
  <c r="AU101" i="95" s="1"/>
  <c r="BC100" i="95"/>
  <c r="AX100" i="95"/>
  <c r="AS100" i="95"/>
  <c r="AE100" i="95"/>
  <c r="AV100" i="95" s="1"/>
  <c r="Q100" i="95"/>
  <c r="AU100" i="95" s="1"/>
  <c r="BC99" i="95"/>
  <c r="AX99" i="95"/>
  <c r="AU99" i="95"/>
  <c r="AS99" i="95"/>
  <c r="AE99" i="95"/>
  <c r="AV99" i="95" s="1"/>
  <c r="AW99" i="95" s="1"/>
  <c r="Y99" i="95"/>
  <c r="Q99" i="95"/>
  <c r="BC98" i="95"/>
  <c r="AS98" i="95"/>
  <c r="AX98" i="95" s="1"/>
  <c r="AE98" i="95"/>
  <c r="AV98" i="95" s="1"/>
  <c r="Q98" i="95"/>
  <c r="AU98" i="95" s="1"/>
  <c r="BC97" i="95"/>
  <c r="AB97" i="95" s="1"/>
  <c r="AE97" i="95" s="1"/>
  <c r="AV97" i="95" s="1"/>
  <c r="AW97" i="95" s="1"/>
  <c r="AX97" i="95"/>
  <c r="AU97" i="95"/>
  <c r="AS97" i="95"/>
  <c r="Q97" i="95"/>
  <c r="BC96" i="95"/>
  <c r="AV96" i="95"/>
  <c r="AS96" i="95"/>
  <c r="AX96" i="95" s="1"/>
  <c r="AY96" i="95" s="1"/>
  <c r="AE96" i="95"/>
  <c r="Q96" i="95"/>
  <c r="AU96" i="95" s="1"/>
  <c r="BC95" i="95"/>
  <c r="AV95" i="95"/>
  <c r="AU95" i="95"/>
  <c r="AW95" i="95" s="1"/>
  <c r="AS95" i="95"/>
  <c r="AX95" i="95" s="1"/>
  <c r="AE95" i="95"/>
  <c r="Q95" i="95"/>
  <c r="BC94" i="95"/>
  <c r="AV94" i="95"/>
  <c r="AS94" i="95"/>
  <c r="AX94" i="95" s="1"/>
  <c r="AE94" i="95"/>
  <c r="Q94" i="95"/>
  <c r="AU94" i="95" s="1"/>
  <c r="AW94" i="95" s="1"/>
  <c r="BC93" i="95"/>
  <c r="AX93" i="95"/>
  <c r="AV93" i="95"/>
  <c r="AS93" i="95"/>
  <c r="AE93" i="95"/>
  <c r="Q93" i="95"/>
  <c r="AU93" i="95" s="1"/>
  <c r="AW93" i="95" s="1"/>
  <c r="BC92" i="95"/>
  <c r="W92" i="95" s="1"/>
  <c r="AX92" i="95"/>
  <c r="AS92" i="95"/>
  <c r="AD92" i="95"/>
  <c r="AC92" i="95"/>
  <c r="AC134" i="95" s="1"/>
  <c r="AB92" i="95"/>
  <c r="AA92" i="95"/>
  <c r="Z92" i="95"/>
  <c r="Y92" i="95"/>
  <c r="X92" i="95"/>
  <c r="Q92" i="95"/>
  <c r="AU92" i="95" s="1"/>
  <c r="BC91" i="95"/>
  <c r="AX91" i="95"/>
  <c r="AV91" i="95"/>
  <c r="AS91" i="95"/>
  <c r="AE91" i="95"/>
  <c r="Q91" i="95"/>
  <c r="AU91" i="95" s="1"/>
  <c r="AW91" i="95" s="1"/>
  <c r="BC90" i="95"/>
  <c r="AX90" i="95"/>
  <c r="AU90" i="95"/>
  <c r="AS90" i="95"/>
  <c r="AE90" i="95"/>
  <c r="AV90" i="95" s="1"/>
  <c r="AW90" i="95" s="1"/>
  <c r="Q90" i="95"/>
  <c r="BC89" i="95"/>
  <c r="AV89" i="95"/>
  <c r="AS89" i="95"/>
  <c r="AE89" i="95"/>
  <c r="Q89" i="95"/>
  <c r="AU89" i="95" s="1"/>
  <c r="BC88" i="95"/>
  <c r="AU88" i="95"/>
  <c r="AR88" i="95"/>
  <c r="AQ88" i="95"/>
  <c r="AP88" i="95"/>
  <c r="AO88" i="95"/>
  <c r="AN88" i="95"/>
  <c r="AM88" i="95"/>
  <c r="AL88" i="95"/>
  <c r="AK88" i="95"/>
  <c r="AJ88" i="95"/>
  <c r="AI88" i="95"/>
  <c r="AH88" i="95"/>
  <c r="AG88" i="95"/>
  <c r="Q88" i="95"/>
  <c r="BC87" i="95"/>
  <c r="AX87" i="95"/>
  <c r="AY87" i="95" s="1"/>
  <c r="AV87" i="95"/>
  <c r="AS87" i="95"/>
  <c r="AE87" i="95"/>
  <c r="Q87" i="95"/>
  <c r="AU87" i="95" s="1"/>
  <c r="AW87" i="95" s="1"/>
  <c r="BC86" i="95"/>
  <c r="AY86" i="95"/>
  <c r="AX86" i="95"/>
  <c r="AU86" i="95"/>
  <c r="AS86" i="95"/>
  <c r="AE86" i="95"/>
  <c r="AV86" i="95" s="1"/>
  <c r="AW86" i="95" s="1"/>
  <c r="Q86" i="95"/>
  <c r="BC85" i="95"/>
  <c r="W85" i="95" s="1"/>
  <c r="AS85" i="95"/>
  <c r="AX85" i="95" s="1"/>
  <c r="X85" i="95"/>
  <c r="Q85" i="95"/>
  <c r="AU85" i="95" s="1"/>
  <c r="BC84" i="95"/>
  <c r="AU84" i="95"/>
  <c r="AS84" i="95"/>
  <c r="AX84" i="95" s="1"/>
  <c r="AE84" i="95"/>
  <c r="AV84" i="95" s="1"/>
  <c r="AW84" i="95" s="1"/>
  <c r="Q84" i="95"/>
  <c r="BC83" i="95"/>
  <c r="W83" i="95" s="1"/>
  <c r="AU83" i="95"/>
  <c r="AS83" i="95"/>
  <c r="AX83" i="95" s="1"/>
  <c r="AC83" i="95"/>
  <c r="AC88" i="95" s="1"/>
  <c r="Y83" i="95"/>
  <c r="Y88" i="95" s="1"/>
  <c r="X83" i="95"/>
  <c r="Q83" i="95"/>
  <c r="BC82" i="95"/>
  <c r="AX82" i="95"/>
  <c r="AV82" i="95"/>
  <c r="AW82" i="95" s="1"/>
  <c r="AU82" i="95"/>
  <c r="AS82" i="95"/>
  <c r="AE82" i="95"/>
  <c r="Q82" i="95"/>
  <c r="BC81" i="95"/>
  <c r="AX81" i="95"/>
  <c r="AV81" i="95"/>
  <c r="AW81" i="95" s="1"/>
  <c r="AU81" i="95"/>
  <c r="AS81" i="95"/>
  <c r="AE81" i="95"/>
  <c r="Q81" i="95"/>
  <c r="BC80" i="95"/>
  <c r="AW80" i="95"/>
  <c r="AV80" i="95"/>
  <c r="AU80" i="95"/>
  <c r="AS80" i="95"/>
  <c r="AX80" i="95" s="1"/>
  <c r="AY80" i="95" s="1"/>
  <c r="AE80" i="95"/>
  <c r="Q80" i="95"/>
  <c r="BC79" i="95"/>
  <c r="AX79" i="95"/>
  <c r="AY79" i="95" s="1"/>
  <c r="AV79" i="95"/>
  <c r="AS79" i="95"/>
  <c r="AE79" i="95"/>
  <c r="Q79" i="95"/>
  <c r="AU79" i="95" s="1"/>
  <c r="AW79" i="95" s="1"/>
  <c r="BC78" i="95"/>
  <c r="AY78" i="95"/>
  <c r="AX78" i="95"/>
  <c r="AU78" i="95"/>
  <c r="AS78" i="95"/>
  <c r="AE78" i="95"/>
  <c r="AV78" i="95" s="1"/>
  <c r="AW78" i="95" s="1"/>
  <c r="Q78" i="95"/>
  <c r="BC77" i="95"/>
  <c r="AV77" i="95"/>
  <c r="AW77" i="95" s="1"/>
  <c r="AS77" i="95"/>
  <c r="AX77" i="95" s="1"/>
  <c r="AY77" i="95" s="1"/>
  <c r="AE77" i="95"/>
  <c r="Q77" i="95"/>
  <c r="AU77" i="95" s="1"/>
  <c r="BC76" i="95"/>
  <c r="AS76" i="95"/>
  <c r="AX76" i="95" s="1"/>
  <c r="AY76" i="95" s="1"/>
  <c r="AE76" i="95"/>
  <c r="AV76" i="95" s="1"/>
  <c r="Q76" i="95"/>
  <c r="AU76" i="95" s="1"/>
  <c r="BC75" i="95"/>
  <c r="AR75" i="95"/>
  <c r="AQ75" i="95"/>
  <c r="AP75" i="95"/>
  <c r="AO75" i="95"/>
  <c r="AN75" i="95"/>
  <c r="AM75" i="95"/>
  <c r="AL75" i="95"/>
  <c r="AK75" i="95"/>
  <c r="AJ75" i="95"/>
  <c r="AI75" i="95"/>
  <c r="AH75" i="95"/>
  <c r="AG75" i="95"/>
  <c r="Q75" i="95"/>
  <c r="AU75" i="95" s="1"/>
  <c r="BC74" i="95"/>
  <c r="AY74" i="95"/>
  <c r="AX74" i="95"/>
  <c r="AV74" i="95"/>
  <c r="AS74" i="95"/>
  <c r="AE74" i="95"/>
  <c r="Q74" i="95"/>
  <c r="AU74" i="95" s="1"/>
  <c r="BC73" i="95"/>
  <c r="AY73" i="95"/>
  <c r="AX73" i="95"/>
  <c r="AU73" i="95"/>
  <c r="AS73" i="95"/>
  <c r="AE73" i="95"/>
  <c r="AV73" i="95" s="1"/>
  <c r="AW73" i="95" s="1"/>
  <c r="Q73" i="95"/>
  <c r="BC72" i="95"/>
  <c r="AV72" i="95"/>
  <c r="AW72" i="95" s="1"/>
  <c r="AS72" i="95"/>
  <c r="AX72" i="95" s="1"/>
  <c r="AY72" i="95" s="1"/>
  <c r="AE72" i="95"/>
  <c r="Q72" i="95"/>
  <c r="AU72" i="95" s="1"/>
  <c r="BC71" i="95"/>
  <c r="AS71" i="95"/>
  <c r="AX71" i="95" s="1"/>
  <c r="AE71" i="95"/>
  <c r="AV71" i="95" s="1"/>
  <c r="AW71" i="95" s="1"/>
  <c r="Q71" i="95"/>
  <c r="AU71" i="95" s="1"/>
  <c r="BC70" i="95"/>
  <c r="AS70" i="95"/>
  <c r="AX70" i="95" s="1"/>
  <c r="AE70" i="95"/>
  <c r="AV70" i="95" s="1"/>
  <c r="AW70" i="95" s="1"/>
  <c r="Q70" i="95"/>
  <c r="AU70" i="95" s="1"/>
  <c r="BC69" i="95"/>
  <c r="Y69" i="95" s="1"/>
  <c r="AE69" i="95" s="1"/>
  <c r="AV69" i="95" s="1"/>
  <c r="AU69" i="95"/>
  <c r="AS69" i="95"/>
  <c r="AX69" i="95" s="1"/>
  <c r="AY69" i="95" s="1"/>
  <c r="AD69" i="95"/>
  <c r="AC69" i="95"/>
  <c r="Q69" i="95"/>
  <c r="BC68" i="95"/>
  <c r="AY68" i="95"/>
  <c r="AX68" i="95"/>
  <c r="AU68" i="95"/>
  <c r="AS68" i="95"/>
  <c r="AE68" i="95"/>
  <c r="AV68" i="95" s="1"/>
  <c r="AW68" i="95" s="1"/>
  <c r="Q68" i="95"/>
  <c r="BC67" i="95"/>
  <c r="AV67" i="95"/>
  <c r="AW67" i="95" s="1"/>
  <c r="AS67" i="95"/>
  <c r="AX67" i="95" s="1"/>
  <c r="AY67" i="95" s="1"/>
  <c r="AE67" i="95"/>
  <c r="Q67" i="95"/>
  <c r="AU67" i="95" s="1"/>
  <c r="BC66" i="95"/>
  <c r="AV66" i="95"/>
  <c r="AS66" i="95"/>
  <c r="AX66" i="95" s="1"/>
  <c r="AE66" i="95"/>
  <c r="Q66" i="95"/>
  <c r="AU66" i="95" s="1"/>
  <c r="BC65" i="95"/>
  <c r="AS65" i="95"/>
  <c r="AX65" i="95" s="1"/>
  <c r="AE65" i="95"/>
  <c r="AV65" i="95" s="1"/>
  <c r="Q65" i="95"/>
  <c r="AU65" i="95" s="1"/>
  <c r="BC64" i="95"/>
  <c r="AS64" i="95"/>
  <c r="AX64" i="95" s="1"/>
  <c r="AY64" i="95" s="1"/>
  <c r="AE64" i="95"/>
  <c r="AV64" i="95" s="1"/>
  <c r="Q64" i="95"/>
  <c r="AU64" i="95" s="1"/>
  <c r="BC63" i="95"/>
  <c r="AU63" i="95"/>
  <c r="AS63" i="95"/>
  <c r="AX63" i="95" s="1"/>
  <c r="AE63" i="95"/>
  <c r="AV63" i="95" s="1"/>
  <c r="AW63" i="95" s="1"/>
  <c r="Z63" i="95"/>
  <c r="Q63" i="95"/>
  <c r="BC62" i="95"/>
  <c r="AW62" i="95"/>
  <c r="AV62" i="95"/>
  <c r="AU62" i="95"/>
  <c r="AS62" i="95"/>
  <c r="AX62" i="95" s="1"/>
  <c r="AY62" i="95" s="1"/>
  <c r="AE62" i="95"/>
  <c r="Q62" i="95"/>
  <c r="BC61" i="95"/>
  <c r="AX61" i="95"/>
  <c r="AY61" i="95" s="1"/>
  <c r="AV61" i="95"/>
  <c r="AS61" i="95"/>
  <c r="AE61" i="95"/>
  <c r="Q61" i="95"/>
  <c r="AU61" i="95" s="1"/>
  <c r="AW61" i="95" s="1"/>
  <c r="BC60" i="95"/>
  <c r="AX60" i="95"/>
  <c r="AU60" i="95"/>
  <c r="AS60" i="95"/>
  <c r="AE60" i="95"/>
  <c r="AV60" i="95" s="1"/>
  <c r="AW60" i="95" s="1"/>
  <c r="Q60" i="95"/>
  <c r="BC59" i="95"/>
  <c r="AV59" i="95"/>
  <c r="AW59" i="95" s="1"/>
  <c r="AS59" i="95"/>
  <c r="AX59" i="95" s="1"/>
  <c r="AY59" i="95" s="1"/>
  <c r="AE59" i="95"/>
  <c r="Q59" i="95"/>
  <c r="AU59" i="95" s="1"/>
  <c r="BC58" i="95"/>
  <c r="AV58" i="95"/>
  <c r="AS58" i="95"/>
  <c r="AX58" i="95" s="1"/>
  <c r="AE58" i="95"/>
  <c r="Q58" i="95"/>
  <c r="AU58" i="95" s="1"/>
  <c r="BC57" i="95"/>
  <c r="AS57" i="95"/>
  <c r="AX57" i="95" s="1"/>
  <c r="AY57" i="95" s="1"/>
  <c r="AE57" i="95"/>
  <c r="AV57" i="95" s="1"/>
  <c r="Q57" i="95"/>
  <c r="AU57" i="95" s="1"/>
  <c r="BC56" i="95"/>
  <c r="AS56" i="95"/>
  <c r="AX56" i="95" s="1"/>
  <c r="AE56" i="95"/>
  <c r="AV56" i="95" s="1"/>
  <c r="Q56" i="95"/>
  <c r="AU56" i="95" s="1"/>
  <c r="BC55" i="95"/>
  <c r="AU55" i="95"/>
  <c r="AS55" i="95"/>
  <c r="AX55" i="95" s="1"/>
  <c r="AE55" i="95"/>
  <c r="AV55" i="95" s="1"/>
  <c r="Q55" i="95"/>
  <c r="BC54" i="95"/>
  <c r="AX54" i="95"/>
  <c r="AV54" i="95"/>
  <c r="AW54" i="95" s="1"/>
  <c r="AU54" i="95"/>
  <c r="AS54" i="95"/>
  <c r="AE54" i="95"/>
  <c r="Q54" i="95"/>
  <c r="BC53" i="95"/>
  <c r="AW53" i="95"/>
  <c r="AV53" i="95"/>
  <c r="AU53" i="95"/>
  <c r="AS53" i="95"/>
  <c r="AX53" i="95" s="1"/>
  <c r="AY53" i="95" s="1"/>
  <c r="AE53" i="95"/>
  <c r="Q53" i="95"/>
  <c r="BC52" i="95"/>
  <c r="AX52" i="95"/>
  <c r="AY52" i="95" s="1"/>
  <c r="AV52" i="95"/>
  <c r="AS52" i="95"/>
  <c r="AE52" i="95"/>
  <c r="Q52" i="95"/>
  <c r="AU52" i="95" s="1"/>
  <c r="AW52" i="95" s="1"/>
  <c r="BC51" i="95"/>
  <c r="AX51" i="95"/>
  <c r="AU51" i="95"/>
  <c r="AS51" i="95"/>
  <c r="AE51" i="95"/>
  <c r="AV51" i="95" s="1"/>
  <c r="AW51" i="95" s="1"/>
  <c r="Q51" i="95"/>
  <c r="BC50" i="95"/>
  <c r="AX50" i="95"/>
  <c r="AU50" i="95"/>
  <c r="AS50" i="95"/>
  <c r="Q50" i="95"/>
  <c r="BC49" i="95"/>
  <c r="AV49" i="95"/>
  <c r="AW49" i="95" s="1"/>
  <c r="AS49" i="95"/>
  <c r="AX49" i="95" s="1"/>
  <c r="AY49" i="95" s="1"/>
  <c r="AE49" i="95"/>
  <c r="Q49" i="95"/>
  <c r="AU49" i="95" s="1"/>
  <c r="BC48" i="95"/>
  <c r="AV48" i="95"/>
  <c r="AS48" i="95"/>
  <c r="AX48" i="95" s="1"/>
  <c r="AE48" i="95"/>
  <c r="Q48" i="95"/>
  <c r="AU48" i="95" s="1"/>
  <c r="BC47" i="95"/>
  <c r="AV47" i="95"/>
  <c r="AS47" i="95"/>
  <c r="AX47" i="95" s="1"/>
  <c r="AY47" i="95" s="1"/>
  <c r="AE47" i="95"/>
  <c r="Q47" i="95"/>
  <c r="AU47" i="95" s="1"/>
  <c r="BC46" i="95"/>
  <c r="AX46" i="95"/>
  <c r="AS46" i="95"/>
  <c r="AE46" i="95"/>
  <c r="AV46" i="95" s="1"/>
  <c r="Q46" i="95"/>
  <c r="AU46" i="95" s="1"/>
  <c r="BC45" i="95"/>
  <c r="AS45" i="95"/>
  <c r="AX45" i="95" s="1"/>
  <c r="AY45" i="95" s="1"/>
  <c r="AE45" i="95"/>
  <c r="AV45" i="95" s="1"/>
  <c r="AW45" i="95" s="1"/>
  <c r="Q45" i="95"/>
  <c r="AU45" i="95" s="1"/>
  <c r="BC44" i="95"/>
  <c r="AU44" i="95"/>
  <c r="AS44" i="95"/>
  <c r="AX44" i="95" s="1"/>
  <c r="AE44" i="95"/>
  <c r="AV44" i="95" s="1"/>
  <c r="AW44" i="95" s="1"/>
  <c r="Q44" i="95"/>
  <c r="BC43" i="95"/>
  <c r="AU43" i="95"/>
  <c r="AS43" i="95"/>
  <c r="AX43" i="95" s="1"/>
  <c r="AE43" i="95"/>
  <c r="AV43" i="95" s="1"/>
  <c r="AW43" i="95" s="1"/>
  <c r="Q43" i="95"/>
  <c r="BC42" i="95"/>
  <c r="AX42" i="95"/>
  <c r="AY42" i="95" s="1"/>
  <c r="AV42" i="95"/>
  <c r="AW42" i="95" s="1"/>
  <c r="AU42" i="95"/>
  <c r="AS42" i="95"/>
  <c r="AE42" i="95"/>
  <c r="Q42" i="95"/>
  <c r="BC41" i="95"/>
  <c r="AW41" i="95"/>
  <c r="AV41" i="95"/>
  <c r="AU41" i="95"/>
  <c r="AS41" i="95"/>
  <c r="AX41" i="95" s="1"/>
  <c r="AY41" i="95" s="1"/>
  <c r="AE41" i="95"/>
  <c r="Q41" i="95"/>
  <c r="BC40" i="95"/>
  <c r="AX40" i="95"/>
  <c r="AY40" i="95" s="1"/>
  <c r="AV40" i="95"/>
  <c r="AS40" i="95"/>
  <c r="AE40" i="95"/>
  <c r="Q40" i="95"/>
  <c r="AU40" i="95" s="1"/>
  <c r="AW40" i="95" s="1"/>
  <c r="BC39" i="95"/>
  <c r="AX39" i="95"/>
  <c r="AU39" i="95"/>
  <c r="AS39" i="95"/>
  <c r="AE39" i="95"/>
  <c r="AV39" i="95" s="1"/>
  <c r="AW39" i="95" s="1"/>
  <c r="Q39" i="95"/>
  <c r="BC38" i="95"/>
  <c r="AS38" i="95"/>
  <c r="AX38" i="95" s="1"/>
  <c r="AR38" i="95"/>
  <c r="AQ38" i="95"/>
  <c r="AP38" i="95"/>
  <c r="AO38" i="95"/>
  <c r="AN38" i="95"/>
  <c r="AM38" i="95"/>
  <c r="AL38" i="95"/>
  <c r="AK38" i="95"/>
  <c r="AJ38" i="95"/>
  <c r="AI38" i="95"/>
  <c r="AH38" i="95"/>
  <c r="AG38" i="95"/>
  <c r="AD38" i="95"/>
  <c r="AC38" i="95"/>
  <c r="AB38" i="95"/>
  <c r="AA38" i="95"/>
  <c r="Z38" i="95"/>
  <c r="Y38" i="95"/>
  <c r="X38" i="95"/>
  <c r="W38" i="95"/>
  <c r="AE38" i="95" s="1"/>
  <c r="AV38" i="95" s="1"/>
  <c r="Q38" i="95"/>
  <c r="AU38" i="95" s="1"/>
  <c r="BC37" i="95"/>
  <c r="AW37" i="95"/>
  <c r="AV37" i="95"/>
  <c r="AU37" i="95"/>
  <c r="AS37" i="95"/>
  <c r="AX37" i="95" s="1"/>
  <c r="AY37" i="95" s="1"/>
  <c r="AE37" i="95"/>
  <c r="Q37" i="95"/>
  <c r="BC36" i="95"/>
  <c r="AR36" i="95"/>
  <c r="AQ36" i="95"/>
  <c r="AP36" i="95"/>
  <c r="AO36" i="95"/>
  <c r="AN36" i="95"/>
  <c r="AM36" i="95"/>
  <c r="AL36" i="95"/>
  <c r="AK36" i="95"/>
  <c r="AJ36" i="95"/>
  <c r="AI36" i="95"/>
  <c r="AH36" i="95"/>
  <c r="AG36" i="95"/>
  <c r="AD36" i="95"/>
  <c r="AC36" i="95"/>
  <c r="AB36" i="95"/>
  <c r="AA36" i="95"/>
  <c r="Z36" i="95"/>
  <c r="Y36" i="95"/>
  <c r="X36" i="95"/>
  <c r="W36" i="95"/>
  <c r="AE36" i="95" s="1"/>
  <c r="AV36" i="95" s="1"/>
  <c r="Q36" i="95"/>
  <c r="AU36" i="95" s="1"/>
  <c r="BC35" i="95"/>
  <c r="AS35" i="95"/>
  <c r="AX35" i="95" s="1"/>
  <c r="AE35" i="95"/>
  <c r="AV35" i="95" s="1"/>
  <c r="Q35" i="95"/>
  <c r="AU35" i="95" s="1"/>
  <c r="BC34" i="95"/>
  <c r="AU34" i="95"/>
  <c r="AS34" i="95"/>
  <c r="AX34" i="95" s="1"/>
  <c r="AE34" i="95"/>
  <c r="AV34" i="95" s="1"/>
  <c r="AW34" i="95" s="1"/>
  <c r="Q34" i="95"/>
  <c r="BC33" i="95"/>
  <c r="AU33" i="95"/>
  <c r="AS33" i="95"/>
  <c r="AX33" i="95" s="1"/>
  <c r="AE33" i="95"/>
  <c r="AV33" i="95" s="1"/>
  <c r="Q33" i="95"/>
  <c r="BC32" i="95"/>
  <c r="AU32" i="95"/>
  <c r="AS32" i="95"/>
  <c r="AX32" i="95" s="1"/>
  <c r="AE32" i="95"/>
  <c r="AV32" i="95" s="1"/>
  <c r="AW32" i="95" s="1"/>
  <c r="Q32" i="95"/>
  <c r="BC31" i="95"/>
  <c r="AU31" i="95"/>
  <c r="AS31" i="95"/>
  <c r="AX31" i="95" s="1"/>
  <c r="AE31" i="95"/>
  <c r="AV31" i="95" s="1"/>
  <c r="Q31" i="95"/>
  <c r="BC30" i="95"/>
  <c r="AX30" i="95"/>
  <c r="AY30" i="95" s="1"/>
  <c r="AV30" i="95"/>
  <c r="AW30" i="95" s="1"/>
  <c r="AU30" i="95"/>
  <c r="AS30" i="95"/>
  <c r="AE30" i="95"/>
  <c r="Q30" i="95"/>
  <c r="BC29" i="95"/>
  <c r="AV29" i="95"/>
  <c r="AU29" i="95"/>
  <c r="AS29" i="95"/>
  <c r="AX29" i="95" s="1"/>
  <c r="AY29" i="95" s="1"/>
  <c r="AE29" i="95"/>
  <c r="Q29" i="95"/>
  <c r="BC28" i="95"/>
  <c r="AW28" i="95"/>
  <c r="AV28" i="95"/>
  <c r="AU28" i="95"/>
  <c r="AS28" i="95"/>
  <c r="AX28" i="95" s="1"/>
  <c r="AY28" i="95" s="1"/>
  <c r="AE28" i="95"/>
  <c r="Q28" i="95"/>
  <c r="BC27" i="95"/>
  <c r="AW27" i="95"/>
  <c r="AV27" i="95"/>
  <c r="AU27" i="95"/>
  <c r="AS27" i="95"/>
  <c r="AX27" i="95" s="1"/>
  <c r="AE27" i="95"/>
  <c r="Q27" i="95"/>
  <c r="BC26" i="95"/>
  <c r="AX26" i="95"/>
  <c r="AY26" i="95" s="1"/>
  <c r="AV26" i="95"/>
  <c r="AU26" i="95"/>
  <c r="AS26" i="95"/>
  <c r="AE26" i="95"/>
  <c r="Q26" i="95"/>
  <c r="BC25" i="95"/>
  <c r="AX25" i="95"/>
  <c r="AY25" i="95" s="1"/>
  <c r="AV25" i="95"/>
  <c r="AS25" i="95"/>
  <c r="AE25" i="95"/>
  <c r="Q25" i="95"/>
  <c r="AU25" i="95" s="1"/>
  <c r="AW25" i="95" s="1"/>
  <c r="BC24" i="95"/>
  <c r="AY24" i="95"/>
  <c r="AX24" i="95"/>
  <c r="AS24" i="95"/>
  <c r="AE24" i="95"/>
  <c r="AV24" i="95" s="1"/>
  <c r="AD24" i="95"/>
  <c r="Q24" i="95"/>
  <c r="AU24" i="95" s="1"/>
  <c r="BC23" i="95"/>
  <c r="AU23" i="95"/>
  <c r="AR23" i="95"/>
  <c r="AQ23" i="95"/>
  <c r="AP23" i="95"/>
  <c r="AO23" i="95"/>
  <c r="AN23" i="95"/>
  <c r="AM23" i="95"/>
  <c r="AL23" i="95"/>
  <c r="AK23" i="95"/>
  <c r="AJ23" i="95"/>
  <c r="AI23" i="95"/>
  <c r="AH23" i="95"/>
  <c r="AG23" i="95"/>
  <c r="Q23" i="95"/>
  <c r="BC22" i="95"/>
  <c r="AW22" i="95"/>
  <c r="AV22" i="95"/>
  <c r="AU22" i="95"/>
  <c r="AS22" i="95"/>
  <c r="AX22" i="95" s="1"/>
  <c r="AE22" i="95"/>
  <c r="Q22" i="95"/>
  <c r="BC21" i="95"/>
  <c r="AX21" i="95"/>
  <c r="AY21" i="95" s="1"/>
  <c r="AV21" i="95"/>
  <c r="AS21" i="95"/>
  <c r="AE21" i="95"/>
  <c r="Q21" i="95"/>
  <c r="AU21" i="95" s="1"/>
  <c r="AW21" i="95" s="1"/>
  <c r="BC20" i="95"/>
  <c r="AX20" i="95"/>
  <c r="AU20" i="95"/>
  <c r="AS20" i="95"/>
  <c r="AE20" i="95"/>
  <c r="AV20" i="95" s="1"/>
  <c r="AW20" i="95" s="1"/>
  <c r="Q20" i="95"/>
  <c r="BC19" i="95"/>
  <c r="AC19" i="95" s="1"/>
  <c r="AX19" i="95"/>
  <c r="AU19" i="95"/>
  <c r="AS19" i="95"/>
  <c r="Q19" i="95"/>
  <c r="BC18" i="95"/>
  <c r="AX18" i="95"/>
  <c r="AU18" i="95"/>
  <c r="AS18" i="95"/>
  <c r="AE18" i="95"/>
  <c r="AV18" i="95" s="1"/>
  <c r="AW18" i="95" s="1"/>
  <c r="Q18" i="95"/>
  <c r="BC17" i="95"/>
  <c r="AX17" i="95"/>
  <c r="AU17" i="95"/>
  <c r="AS17" i="95"/>
  <c r="AC17" i="95"/>
  <c r="Q17" i="95"/>
  <c r="BC16" i="95"/>
  <c r="AX16" i="95"/>
  <c r="AU16" i="95"/>
  <c r="AS16" i="95"/>
  <c r="AE16" i="95"/>
  <c r="AV16" i="95" s="1"/>
  <c r="AW16" i="95" s="1"/>
  <c r="Q16" i="95"/>
  <c r="BC15" i="95"/>
  <c r="AV15" i="95"/>
  <c r="AS15" i="95"/>
  <c r="AX15" i="95" s="1"/>
  <c r="AY15" i="95" s="1"/>
  <c r="AE15" i="95"/>
  <c r="Q15" i="95"/>
  <c r="AU15" i="95" s="1"/>
  <c r="BC14" i="95"/>
  <c r="AX14" i="95"/>
  <c r="AS14" i="95"/>
  <c r="AS23" i="95" s="1"/>
  <c r="AX23" i="95" s="1"/>
  <c r="AE14" i="95"/>
  <c r="AV14" i="95" s="1"/>
  <c r="Q14" i="95"/>
  <c r="AU14" i="95" s="1"/>
  <c r="BC13" i="95"/>
  <c r="AS13" i="95"/>
  <c r="AX13" i="95" s="1"/>
  <c r="AR13" i="95"/>
  <c r="AQ13" i="95"/>
  <c r="AP13" i="95"/>
  <c r="AO13" i="95"/>
  <c r="AN13" i="95"/>
  <c r="AM13" i="95"/>
  <c r="AL13" i="95"/>
  <c r="AK13" i="95"/>
  <c r="AJ13" i="95"/>
  <c r="AI13" i="95"/>
  <c r="AH13" i="95"/>
  <c r="AG13" i="95"/>
  <c r="AD13" i="95"/>
  <c r="AB13" i="95"/>
  <c r="AA13" i="95"/>
  <c r="Z13" i="95"/>
  <c r="Y13" i="95"/>
  <c r="Q13" i="95"/>
  <c r="AU13" i="95" s="1"/>
  <c r="BC12" i="95"/>
  <c r="AX12" i="95"/>
  <c r="AU12" i="95"/>
  <c r="AS12" i="95"/>
  <c r="AC12" i="95"/>
  <c r="AC13" i="95" s="1"/>
  <c r="X12" i="95"/>
  <c r="X13" i="95" s="1"/>
  <c r="W12" i="95"/>
  <c r="W13" i="95" s="1"/>
  <c r="Q12" i="95"/>
  <c r="BC11" i="95"/>
  <c r="AU11" i="95"/>
  <c r="AS11" i="95"/>
  <c r="AX11" i="95" s="1"/>
  <c r="AR11" i="95"/>
  <c r="AQ11" i="95"/>
  <c r="AP11" i="95"/>
  <c r="AO11" i="95"/>
  <c r="AN11" i="95"/>
  <c r="AM11" i="95"/>
  <c r="AL11" i="95"/>
  <c r="AK11" i="95"/>
  <c r="AJ11" i="95"/>
  <c r="AI11" i="95"/>
  <c r="AH11" i="95"/>
  <c r="AG11" i="95"/>
  <c r="AD11" i="95"/>
  <c r="AC11" i="95"/>
  <c r="AB11" i="95"/>
  <c r="AA11" i="95"/>
  <c r="Z11" i="95"/>
  <c r="Y11" i="95"/>
  <c r="X11" i="95"/>
  <c r="W11" i="95"/>
  <c r="Q11" i="95"/>
  <c r="BC10" i="95"/>
  <c r="AV10" i="95"/>
  <c r="AW10" i="95" s="1"/>
  <c r="AS10" i="95"/>
  <c r="AX10" i="95" s="1"/>
  <c r="AY10" i="95" s="1"/>
  <c r="AE10" i="95"/>
  <c r="Q10" i="95"/>
  <c r="AU10" i="95" s="1"/>
  <c r="BC9" i="95"/>
  <c r="AX9" i="95"/>
  <c r="AU9" i="95"/>
  <c r="AW9" i="95" s="1"/>
  <c r="AS9" i="95"/>
  <c r="AE9" i="95"/>
  <c r="Q9" i="95"/>
  <c r="BC8" i="95"/>
  <c r="AX8" i="95"/>
  <c r="AS8" i="95"/>
  <c r="AE8" i="95"/>
  <c r="Q8" i="95"/>
  <c r="AU8" i="95" s="1"/>
  <c r="AW8" i="95" s="1"/>
  <c r="BC7" i="95"/>
  <c r="AY7" i="95"/>
  <c r="AX7" i="95"/>
  <c r="AU7" i="95"/>
  <c r="AS7" i="95"/>
  <c r="AE7" i="95"/>
  <c r="AV7" i="95" s="1"/>
  <c r="AW7" i="95" s="1"/>
  <c r="Q7" i="95"/>
  <c r="P26" i="64" l="1"/>
  <c r="P11" i="64"/>
  <c r="N10" i="64"/>
  <c r="P10" i="64" s="1"/>
  <c r="AX135" i="95"/>
  <c r="AE13" i="95"/>
  <c r="AV13" i="95" s="1"/>
  <c r="AW13" i="95" s="1"/>
  <c r="AW38" i="95"/>
  <c r="AY44" i="95"/>
  <c r="AY46" i="95"/>
  <c r="AW46" i="95"/>
  <c r="AB50" i="95"/>
  <c r="AB75" i="95" s="1"/>
  <c r="AA50" i="95"/>
  <c r="AA75" i="95" s="1"/>
  <c r="Z50" i="95"/>
  <c r="Z75" i="95" s="1"/>
  <c r="Y50" i="95"/>
  <c r="Y75" i="95" s="1"/>
  <c r="X50" i="95"/>
  <c r="X75" i="95" s="1"/>
  <c r="W50" i="95"/>
  <c r="AD50" i="95"/>
  <c r="AD75" i="95" s="1"/>
  <c r="AY60" i="95"/>
  <c r="AW66" i="95"/>
  <c r="AW76" i="95"/>
  <c r="AY82" i="95"/>
  <c r="W88" i="95"/>
  <c r="AW96" i="95"/>
  <c r="AW98" i="95"/>
  <c r="AY99" i="95"/>
  <c r="AE103" i="95"/>
  <c r="AV103" i="95" s="1"/>
  <c r="AW103" i="95" s="1"/>
  <c r="AE116" i="95"/>
  <c r="AV116" i="95" s="1"/>
  <c r="AW116" i="95" s="1"/>
  <c r="AE85" i="95"/>
  <c r="AV85" i="95" s="1"/>
  <c r="AW85" i="95" s="1"/>
  <c r="AY90" i="95"/>
  <c r="AB17" i="95"/>
  <c r="AA17" i="95"/>
  <c r="AA23" i="95" s="1"/>
  <c r="Z17" i="95"/>
  <c r="Y17" i="95"/>
  <c r="Y23" i="95" s="1"/>
  <c r="X17" i="95"/>
  <c r="W17" i="95"/>
  <c r="AD17" i="95"/>
  <c r="AY13" i="95"/>
  <c r="AW36" i="95"/>
  <c r="AY54" i="95"/>
  <c r="AW56" i="95"/>
  <c r="AY63" i="95"/>
  <c r="AW65" i="95"/>
  <c r="AY71" i="95"/>
  <c r="AW89" i="95"/>
  <c r="AY34" i="95"/>
  <c r="AY20" i="95"/>
  <c r="AS36" i="95"/>
  <c r="AX36" i="95" s="1"/>
  <c r="AY36" i="95" s="1"/>
  <c r="AY31" i="95"/>
  <c r="AY39" i="95"/>
  <c r="AY56" i="95"/>
  <c r="AY65" i="95"/>
  <c r="AW69" i="95"/>
  <c r="X88" i="95"/>
  <c r="AY84" i="95"/>
  <c r="AE92" i="95"/>
  <c r="AV92" i="95" s="1"/>
  <c r="AW92" i="95" s="1"/>
  <c r="AW100" i="95"/>
  <c r="AW15" i="95"/>
  <c r="AW24" i="95"/>
  <c r="AW33" i="95"/>
  <c r="AY38" i="95"/>
  <c r="AW48" i="95"/>
  <c r="AC50" i="95"/>
  <c r="AC75" i="95" s="1"/>
  <c r="AW58" i="95"/>
  <c r="AY14" i="95"/>
  <c r="AW14" i="95"/>
  <c r="AB19" i="95"/>
  <c r="AA19" i="95"/>
  <c r="Z19" i="95"/>
  <c r="Y19" i="95"/>
  <c r="X19" i="95"/>
  <c r="W19" i="95"/>
  <c r="AD19" i="95"/>
  <c r="AW55" i="95"/>
  <c r="AS75" i="95"/>
  <c r="AX75" i="95" s="1"/>
  <c r="AC23" i="95"/>
  <c r="AW35" i="95"/>
  <c r="AY51" i="95"/>
  <c r="AY55" i="95"/>
  <c r="AW57" i="95"/>
  <c r="AW64" i="95"/>
  <c r="AY70" i="95"/>
  <c r="AY105" i="95"/>
  <c r="AW105" i="95"/>
  <c r="AW117" i="95"/>
  <c r="AY117" i="95"/>
  <c r="Z83" i="95"/>
  <c r="Z88" i="95" s="1"/>
  <c r="AS88" i="95"/>
  <c r="AX88" i="95" s="1"/>
  <c r="Z101" i="95"/>
  <c r="Z134" i="95" s="1"/>
  <c r="W101" i="95"/>
  <c r="AW129" i="95"/>
  <c r="AA132" i="95"/>
  <c r="Y156" i="95"/>
  <c r="AB136" i="95"/>
  <c r="AX168" i="95"/>
  <c r="AY168" i="95" s="1"/>
  <c r="AS198" i="95"/>
  <c r="AX198" i="95" s="1"/>
  <c r="AY198" i="95" s="1"/>
  <c r="AY195" i="95"/>
  <c r="AA83" i="95"/>
  <c r="AA88" i="95" s="1"/>
  <c r="AS134" i="95"/>
  <c r="AX134" i="95" s="1"/>
  <c r="AD134" i="95"/>
  <c r="AA108" i="95"/>
  <c r="Z108" i="95"/>
  <c r="AE108" i="95" s="1"/>
  <c r="AV108" i="95" s="1"/>
  <c r="AI139" i="95"/>
  <c r="AY149" i="95"/>
  <c r="AO150" i="95"/>
  <c r="AG150" i="95"/>
  <c r="AS150" i="95" s="1"/>
  <c r="AX150" i="95" s="1"/>
  <c r="AN150" i="95"/>
  <c r="AM150" i="95"/>
  <c r="AL150" i="95"/>
  <c r="AK150" i="95"/>
  <c r="AR150" i="95"/>
  <c r="AJ150" i="95"/>
  <c r="AQ150" i="95"/>
  <c r="AI150" i="95"/>
  <c r="AY164" i="95"/>
  <c r="AW164" i="95"/>
  <c r="AW197" i="95"/>
  <c r="X132" i="95"/>
  <c r="X134" i="95" s="1"/>
  <c r="W132" i="95"/>
  <c r="AB132" i="95"/>
  <c r="AB134" i="95" s="1"/>
  <c r="AE11" i="95"/>
  <c r="AV11" i="95" s="1"/>
  <c r="AW11" i="95" s="1"/>
  <c r="AE12" i="95"/>
  <c r="AV12" i="95" s="1"/>
  <c r="AB83" i="95"/>
  <c r="AB88" i="95" s="1"/>
  <c r="AD132" i="95"/>
  <c r="AN139" i="95"/>
  <c r="AD142" i="95"/>
  <c r="AY158" i="95"/>
  <c r="AY204" i="95"/>
  <c r="AW218" i="95"/>
  <c r="AY113" i="95"/>
  <c r="AW128" i="95"/>
  <c r="AY131" i="95"/>
  <c r="AB156" i="95"/>
  <c r="AM136" i="95"/>
  <c r="AD136" i="95"/>
  <c r="AL136" i="95"/>
  <c r="AL156" i="95" s="1"/>
  <c r="AC136" i="95"/>
  <c r="AC156" i="95" s="1"/>
  <c r="AR136" i="95"/>
  <c r="AR156" i="95" s="1"/>
  <c r="AJ136" i="95"/>
  <c r="AJ156" i="95" s="1"/>
  <c r="AA136" i="95"/>
  <c r="AA156" i="95" s="1"/>
  <c r="AQ136" i="95"/>
  <c r="AI136" i="95"/>
  <c r="AI156" i="95" s="1"/>
  <c r="Z136" i="95"/>
  <c r="Z156" i="95" s="1"/>
  <c r="AI145" i="95"/>
  <c r="AD83" i="95"/>
  <c r="AD88" i="95" s="1"/>
  <c r="AD108" i="95"/>
  <c r="AY126" i="95"/>
  <c r="AK136" i="95"/>
  <c r="AK156" i="95" s="1"/>
  <c r="AY138" i="95"/>
  <c r="AY151" i="95"/>
  <c r="AS155" i="95"/>
  <c r="AX155" i="95" s="1"/>
  <c r="Z132" i="95"/>
  <c r="AX89" i="95"/>
  <c r="AY89" i="95" s="1"/>
  <c r="AY97" i="95"/>
  <c r="AY128" i="95"/>
  <c r="W136" i="95"/>
  <c r="AN136" i="95"/>
  <c r="AN156" i="95" s="1"/>
  <c r="AW137" i="95"/>
  <c r="AY169" i="95"/>
  <c r="AY202" i="95"/>
  <c r="AA134" i="95"/>
  <c r="Y132" i="95"/>
  <c r="Y134" i="95" s="1"/>
  <c r="AM139" i="95"/>
  <c r="AL139" i="95"/>
  <c r="AK139" i="95"/>
  <c r="AR139" i="95"/>
  <c r="AJ139" i="95"/>
  <c r="AP139" i="95"/>
  <c r="AH139" i="95"/>
  <c r="AO139" i="95"/>
  <c r="AO156" i="95" s="1"/>
  <c r="AG139" i="95"/>
  <c r="AE142" i="95"/>
  <c r="AV142" i="95" s="1"/>
  <c r="AW142" i="95" s="1"/>
  <c r="AP145" i="95"/>
  <c r="AP156" i="95" s="1"/>
  <c r="AH145" i="95"/>
  <c r="AO145" i="95"/>
  <c r="AG145" i="95"/>
  <c r="AN145" i="95"/>
  <c r="AM145" i="95"/>
  <c r="AL145" i="95"/>
  <c r="AK145" i="95"/>
  <c r="AR145" i="95"/>
  <c r="AJ145" i="95"/>
  <c r="AY154" i="95"/>
  <c r="AW154" i="95"/>
  <c r="AY185" i="95"/>
  <c r="AW185" i="95"/>
  <c r="AE254" i="95"/>
  <c r="AV254" i="95" s="1"/>
  <c r="AW254" i="95" s="1"/>
  <c r="Y125" i="95"/>
  <c r="AE125" i="95" s="1"/>
  <c r="AV125" i="95" s="1"/>
  <c r="AW125" i="95" s="1"/>
  <c r="AD135" i="95"/>
  <c r="AD156" i="95" s="1"/>
  <c r="AM137" i="95"/>
  <c r="AJ140" i="95"/>
  <c r="AS140" i="95" s="1"/>
  <c r="AX140" i="95" s="1"/>
  <c r="AY140" i="95" s="1"/>
  <c r="AR140" i="95"/>
  <c r="AJ143" i="95"/>
  <c r="AS143" i="95" s="1"/>
  <c r="AX143" i="95" s="1"/>
  <c r="AR143" i="95"/>
  <c r="AN144" i="95"/>
  <c r="AM146" i="95"/>
  <c r="AH147" i="95"/>
  <c r="AS147" i="95" s="1"/>
  <c r="AX147" i="95" s="1"/>
  <c r="AY147" i="95" s="1"/>
  <c r="AP147" i="95"/>
  <c r="AL153" i="95"/>
  <c r="AS225" i="95"/>
  <c r="AX225" i="95" s="1"/>
  <c r="AD211" i="95"/>
  <c r="AB211" i="95"/>
  <c r="Z211" i="95"/>
  <c r="AE211" i="95" s="1"/>
  <c r="AV211" i="95" s="1"/>
  <c r="AW211" i="95" s="1"/>
  <c r="AA214" i="95"/>
  <c r="AE230" i="95"/>
  <c r="AV230" i="95" s="1"/>
  <c r="AW230" i="95" s="1"/>
  <c r="AL240" i="95"/>
  <c r="AY244" i="95"/>
  <c r="AY252" i="95"/>
  <c r="AK140" i="95"/>
  <c r="AK143" i="95"/>
  <c r="AG144" i="95"/>
  <c r="AS144" i="95" s="1"/>
  <c r="AX144" i="95" s="1"/>
  <c r="AO144" i="95"/>
  <c r="AM153" i="95"/>
  <c r="AW196" i="95"/>
  <c r="AA204" i="95"/>
  <c r="AA225" i="95" s="1"/>
  <c r="Y204" i="95"/>
  <c r="W204" i="95"/>
  <c r="AE204" i="95" s="1"/>
  <c r="AV204" i="95" s="1"/>
  <c r="AW204" i="95" s="1"/>
  <c r="AC219" i="95"/>
  <c r="AB219" i="95"/>
  <c r="Z219" i="95"/>
  <c r="X219" i="95"/>
  <c r="AE219" i="95" s="1"/>
  <c r="AV219" i="95" s="1"/>
  <c r="AV258" i="95"/>
  <c r="AW258" i="95" s="1"/>
  <c r="AM258" i="95"/>
  <c r="AL258" i="95"/>
  <c r="AQ258" i="95"/>
  <c r="AI258" i="95"/>
  <c r="AS258" i="95" s="1"/>
  <c r="AX258" i="95" s="1"/>
  <c r="AY258" i="95" s="1"/>
  <c r="AR258" i="95"/>
  <c r="AP258" i="95"/>
  <c r="AO258" i="95"/>
  <c r="AN258" i="95"/>
  <c r="AJ258" i="95"/>
  <c r="AY259" i="95"/>
  <c r="AS166" i="95"/>
  <c r="AX166" i="95" s="1"/>
  <c r="AY166" i="95" s="1"/>
  <c r="AW167" i="95"/>
  <c r="AY177" i="95"/>
  <c r="AW186" i="95"/>
  <c r="AW200" i="95"/>
  <c r="AY235" i="95"/>
  <c r="AW235" i="95"/>
  <c r="AC243" i="95"/>
  <c r="AC269" i="95" s="1"/>
  <c r="Z243" i="95"/>
  <c r="Z269" i="95" s="1"/>
  <c r="X243" i="95"/>
  <c r="AB243" i="95"/>
  <c r="W279" i="95"/>
  <c r="AE279" i="95" s="1"/>
  <c r="AV279" i="95" s="1"/>
  <c r="AW279" i="95" s="1"/>
  <c r="AE271" i="95"/>
  <c r="AV271" i="95" s="1"/>
  <c r="AW271" i="95" s="1"/>
  <c r="AH137" i="95"/>
  <c r="AH156" i="95" s="1"/>
  <c r="AM140" i="95"/>
  <c r="AM143" i="95"/>
  <c r="AM156" i="95" s="1"/>
  <c r="AI144" i="95"/>
  <c r="AQ144" i="95"/>
  <c r="AQ156" i="95" s="1"/>
  <c r="AH146" i="95"/>
  <c r="AS146" i="95" s="1"/>
  <c r="AX146" i="95" s="1"/>
  <c r="AY146" i="95" s="1"/>
  <c r="AK147" i="95"/>
  <c r="AG153" i="95"/>
  <c r="AO153" i="95"/>
  <c r="AW163" i="95"/>
  <c r="AY167" i="95"/>
  <c r="AY186" i="95"/>
  <c r="AY200" i="95"/>
  <c r="W203" i="95"/>
  <c r="AC204" i="95"/>
  <c r="AC225" i="95" s="1"/>
  <c r="AW210" i="95"/>
  <c r="AA219" i="95"/>
  <c r="AW231" i="95"/>
  <c r="Y243" i="95"/>
  <c r="X247" i="95"/>
  <c r="AC247" i="95"/>
  <c r="Z247" i="95"/>
  <c r="Y247" i="95"/>
  <c r="AD247" i="95"/>
  <c r="AD269" i="95" s="1"/>
  <c r="AK258" i="95"/>
  <c r="AY261" i="95"/>
  <c r="AJ144" i="95"/>
  <c r="AR144" i="95"/>
  <c r="AH153" i="95"/>
  <c r="AP153" i="95"/>
  <c r="AW181" i="95"/>
  <c r="Y203" i="95"/>
  <c r="Y225" i="95" s="1"/>
  <c r="AD204" i="95"/>
  <c r="AD225" i="95" s="1"/>
  <c r="AD219" i="95"/>
  <c r="AA243" i="95"/>
  <c r="AE256" i="95"/>
  <c r="AV256" i="95" s="1"/>
  <c r="AW256" i="95" s="1"/>
  <c r="AQ260" i="95"/>
  <c r="AI260" i="95"/>
  <c r="AP260" i="95"/>
  <c r="AH260" i="95"/>
  <c r="AV260" i="95"/>
  <c r="AW260" i="95" s="1"/>
  <c r="AM260" i="95"/>
  <c r="AN260" i="95"/>
  <c r="AL260" i="95"/>
  <c r="AK260" i="95"/>
  <c r="AJ260" i="95"/>
  <c r="AK144" i="95"/>
  <c r="AX157" i="95"/>
  <c r="AY157" i="95" s="1"/>
  <c r="W214" i="95"/>
  <c r="AD214" i="95"/>
  <c r="AB214" i="95"/>
  <c r="Z214" i="95"/>
  <c r="AW220" i="95"/>
  <c r="AD243" i="95"/>
  <c r="AE251" i="95"/>
  <c r="AV251" i="95" s="1"/>
  <c r="AW251" i="95" s="1"/>
  <c r="AJ153" i="95"/>
  <c r="AY189" i="95"/>
  <c r="AB203" i="95"/>
  <c r="Z203" i="95"/>
  <c r="Z225" i="95" s="1"/>
  <c r="X203" i="95"/>
  <c r="X214" i="95"/>
  <c r="AK240" i="95"/>
  <c r="AP240" i="95"/>
  <c r="AH240" i="95"/>
  <c r="AQ240" i="95"/>
  <c r="AO240" i="95"/>
  <c r="AN240" i="95"/>
  <c r="AM240" i="95"/>
  <c r="AV240" i="95"/>
  <c r="AW240" i="95" s="1"/>
  <c r="AJ240" i="95"/>
  <c r="AY242" i="95"/>
  <c r="AX199" i="95"/>
  <c r="AY199" i="95" s="1"/>
  <c r="AS229" i="95"/>
  <c r="AX229" i="95" s="1"/>
  <c r="AY229" i="95" s="1"/>
  <c r="X249" i="95"/>
  <c r="AC249" i="95"/>
  <c r="Y264" i="95"/>
  <c r="AE264" i="95" s="1"/>
  <c r="AR266" i="95"/>
  <c r="AJ266" i="95"/>
  <c r="AQ266" i="95"/>
  <c r="AI266" i="95"/>
  <c r="AN266" i="95"/>
  <c r="AW267" i="95"/>
  <c r="AY271" i="95"/>
  <c r="AB236" i="95"/>
  <c r="Y236" i="95"/>
  <c r="Y246" i="95"/>
  <c r="AE246" i="95" s="1"/>
  <c r="AD246" i="95"/>
  <c r="AD249" i="95"/>
  <c r="AK266" i="95"/>
  <c r="AY270" i="95"/>
  <c r="AS279" i="95"/>
  <c r="AX279" i="95" s="1"/>
  <c r="AY279" i="95" s="1"/>
  <c r="AE229" i="95"/>
  <c r="AV229" i="95" s="1"/>
  <c r="AW229" i="95" s="1"/>
  <c r="AB239" i="95"/>
  <c r="AB269" i="95" s="1"/>
  <c r="Y239" i="95"/>
  <c r="X248" i="95"/>
  <c r="AE248" i="95" s="1"/>
  <c r="AV248" i="95" s="1"/>
  <c r="AW248" i="95" s="1"/>
  <c r="AC248" i="95"/>
  <c r="AC250" i="95"/>
  <c r="Z250" i="95"/>
  <c r="AE250" i="95" s="1"/>
  <c r="AV250" i="95" s="1"/>
  <c r="AW250" i="95" s="1"/>
  <c r="AE262" i="95"/>
  <c r="AV262" i="95" s="1"/>
  <c r="AW262" i="95" s="1"/>
  <c r="AM266" i="95"/>
  <c r="AW275" i="95"/>
  <c r="X312" i="95"/>
  <c r="AE283" i="95"/>
  <c r="AV283" i="95" s="1"/>
  <c r="AW233" i="95"/>
  <c r="AD268" i="95"/>
  <c r="AA268" i="95"/>
  <c r="AA269" i="95" s="1"/>
  <c r="AW298" i="95"/>
  <c r="AY314" i="95"/>
  <c r="AD264" i="95"/>
  <c r="AC264" i="95"/>
  <c r="Z264" i="95"/>
  <c r="Z251" i="95"/>
  <c r="Z254" i="95"/>
  <c r="Z255" i="95"/>
  <c r="AE255" i="95" s="1"/>
  <c r="AV255" i="95" s="1"/>
  <c r="AW255" i="95" s="1"/>
  <c r="Z256" i="95"/>
  <c r="Z257" i="95"/>
  <c r="AE257" i="95" s="1"/>
  <c r="AV257" i="95" s="1"/>
  <c r="AW257" i="95" s="1"/>
  <c r="AY280" i="95"/>
  <c r="AE286" i="95"/>
  <c r="AV286" i="95" s="1"/>
  <c r="AW286" i="95" s="1"/>
  <c r="AW291" i="95"/>
  <c r="AW339" i="95"/>
  <c r="AW341" i="95"/>
  <c r="AY359" i="95"/>
  <c r="AY306" i="95"/>
  <c r="AY319" i="95"/>
  <c r="AY348" i="95"/>
  <c r="AY295" i="95"/>
  <c r="AW300" i="95"/>
  <c r="AS312" i="95"/>
  <c r="AX312" i="95" s="1"/>
  <c r="AW348" i="95"/>
  <c r="AW353" i="95"/>
  <c r="AW277" i="95"/>
  <c r="AY282" i="95"/>
  <c r="AW292" i="95"/>
  <c r="AY302" i="95"/>
  <c r="AY326" i="95"/>
  <c r="AY329" i="95"/>
  <c r="AY331" i="95"/>
  <c r="AY333" i="95"/>
  <c r="AW340" i="95"/>
  <c r="AY347" i="95"/>
  <c r="AY350" i="95"/>
  <c r="AY352" i="95"/>
  <c r="AW352" i="95"/>
  <c r="AY358" i="95"/>
  <c r="AY299" i="95"/>
  <c r="AW302" i="95"/>
  <c r="AW304" i="95"/>
  <c r="AW321" i="95"/>
  <c r="AW326" i="95"/>
  <c r="AY342" i="95"/>
  <c r="AW342" i="95"/>
  <c r="AE347" i="95"/>
  <c r="AV347" i="95" s="1"/>
  <c r="AW347" i="95" s="1"/>
  <c r="AW358" i="95"/>
  <c r="AY360" i="95"/>
  <c r="AW360" i="95"/>
  <c r="AW361" i="95"/>
  <c r="AY363" i="95"/>
  <c r="AW363" i="95"/>
  <c r="AW364" i="95"/>
  <c r="AE435" i="95"/>
  <c r="AV435" i="95" s="1"/>
  <c r="AW435" i="95" s="1"/>
  <c r="AW328" i="95"/>
  <c r="AW335" i="95"/>
  <c r="AW349" i="95"/>
  <c r="AW276" i="95"/>
  <c r="AY281" i="95"/>
  <c r="AC312" i="95"/>
  <c r="W293" i="95"/>
  <c r="AE293" i="95" s="1"/>
  <c r="AV293" i="95" s="1"/>
  <c r="AW293" i="95" s="1"/>
  <c r="AC293" i="95"/>
  <c r="AA293" i="95"/>
  <c r="AA312" i="95" s="1"/>
  <c r="Z293" i="95"/>
  <c r="Z312" i="95" s="1"/>
  <c r="Y293" i="95"/>
  <c r="Y312" i="95" s="1"/>
  <c r="AY328" i="95"/>
  <c r="AY334" i="95"/>
  <c r="AW334" i="95"/>
  <c r="AY349" i="95"/>
  <c r="AW351" i="95"/>
  <c r="AC375" i="95"/>
  <c r="Z327" i="95"/>
  <c r="AY376" i="95"/>
  <c r="AY386" i="95"/>
  <c r="AW389" i="95"/>
  <c r="AW397" i="95"/>
  <c r="AY413" i="95"/>
  <c r="AW415" i="95"/>
  <c r="AY441" i="95"/>
  <c r="AY444" i="95"/>
  <c r="AY460" i="95"/>
  <c r="AX313" i="95"/>
  <c r="AY313" i="95" s="1"/>
  <c r="AA327" i="95"/>
  <c r="AW370" i="95"/>
  <c r="AY379" i="95"/>
  <c r="AW396" i="95"/>
  <c r="H480" i="95"/>
  <c r="P480" i="95"/>
  <c r="AW463" i="95"/>
  <c r="AS375" i="95"/>
  <c r="AX375" i="95" s="1"/>
  <c r="AD375" i="95"/>
  <c r="AE323" i="95"/>
  <c r="AV323" i="95" s="1"/>
  <c r="AW323" i="95" s="1"/>
  <c r="AB327" i="95"/>
  <c r="AB375" i="95" s="1"/>
  <c r="AY371" i="95"/>
  <c r="AY378" i="95"/>
  <c r="AY381" i="95"/>
  <c r="AW391" i="95"/>
  <c r="AW393" i="95"/>
  <c r="AW395" i="95"/>
  <c r="AW399" i="95"/>
  <c r="AW401" i="95"/>
  <c r="AW403" i="95"/>
  <c r="AY406" i="95"/>
  <c r="AW421" i="95"/>
  <c r="AY427" i="95"/>
  <c r="AW432" i="95"/>
  <c r="AW434" i="95"/>
  <c r="AW436" i="95"/>
  <c r="Q448" i="95"/>
  <c r="AE464" i="95"/>
  <c r="AV453" i="95"/>
  <c r="AY455" i="95"/>
  <c r="AW455" i="95"/>
  <c r="AY463" i="95"/>
  <c r="AE478" i="95"/>
  <c r="AS464" i="95"/>
  <c r="Y375" i="95"/>
  <c r="AD327" i="95"/>
  <c r="AW365" i="95"/>
  <c r="AS383" i="95"/>
  <c r="AX383" i="95" s="1"/>
  <c r="AY383" i="95" s="1"/>
  <c r="AY390" i="95"/>
  <c r="AE398" i="95"/>
  <c r="AV398" i="95" s="1"/>
  <c r="AW398" i="95" s="1"/>
  <c r="AY411" i="95"/>
  <c r="AW411" i="95"/>
  <c r="AW412" i="95"/>
  <c r="AW414" i="95"/>
  <c r="AW418" i="95"/>
  <c r="AS447" i="95"/>
  <c r="AX447" i="95" s="1"/>
  <c r="AY447" i="95" s="1"/>
  <c r="AW443" i="95"/>
  <c r="AW470" i="95"/>
  <c r="AY472" i="95"/>
  <c r="AY476" i="95"/>
  <c r="Z375" i="95"/>
  <c r="W327" i="95"/>
  <c r="AY364" i="95"/>
  <c r="AY410" i="95"/>
  <c r="AS419" i="95"/>
  <c r="AX419" i="95" s="1"/>
  <c r="AY419" i="95" s="1"/>
  <c r="AA375" i="95"/>
  <c r="AW369" i="95"/>
  <c r="AW387" i="95"/>
  <c r="AY392" i="95"/>
  <c r="AW394" i="95"/>
  <c r="AW400" i="95"/>
  <c r="AW402" i="95"/>
  <c r="AW417" i="95"/>
  <c r="AY431" i="95"/>
  <c r="AW433" i="95"/>
  <c r="AY439" i="95"/>
  <c r="AW445" i="95"/>
  <c r="AY459" i="95"/>
  <c r="AY468" i="95"/>
  <c r="AX377" i="95"/>
  <c r="AY377" i="95" s="1"/>
  <c r="AX384" i="95"/>
  <c r="AY384" i="95" s="1"/>
  <c r="AX405" i="95"/>
  <c r="AS438" i="95"/>
  <c r="AX438" i="95" s="1"/>
  <c r="W423" i="95"/>
  <c r="X423" i="95"/>
  <c r="X435" i="95"/>
  <c r="AV467" i="95"/>
  <c r="AS478" i="95"/>
  <c r="AX478" i="95" s="1"/>
  <c r="Y423" i="95"/>
  <c r="Y438" i="95" s="1"/>
  <c r="Y435" i="95"/>
  <c r="AX399" i="95"/>
  <c r="AC448" i="95" l="1"/>
  <c r="AC480" i="95" s="1"/>
  <c r="AA448" i="95"/>
  <c r="AA480" i="95" s="1"/>
  <c r="AY219" i="95"/>
  <c r="AW219" i="95"/>
  <c r="AN264" i="95"/>
  <c r="AV264" i="95"/>
  <c r="AW264" i="95" s="1"/>
  <c r="AM264" i="95"/>
  <c r="AR264" i="95"/>
  <c r="AJ264" i="95"/>
  <c r="AK264" i="95"/>
  <c r="AI264" i="95"/>
  <c r="AH264" i="95"/>
  <c r="AQ264" i="95"/>
  <c r="AP264" i="95"/>
  <c r="AO264" i="95"/>
  <c r="AL264" i="95"/>
  <c r="AW108" i="95"/>
  <c r="AY108" i="95"/>
  <c r="AY75" i="95"/>
  <c r="AY478" i="95"/>
  <c r="AE249" i="95"/>
  <c r="X225" i="95"/>
  <c r="AY256" i="95"/>
  <c r="AE132" i="95"/>
  <c r="AV132" i="95" s="1"/>
  <c r="AW132" i="95" s="1"/>
  <c r="AY88" i="95"/>
  <c r="Z23" i="95"/>
  <c r="Z448" i="95" s="1"/>
  <c r="Z480" i="95" s="1"/>
  <c r="AY255" i="95"/>
  <c r="AS266" i="95"/>
  <c r="AX266" i="95" s="1"/>
  <c r="AB225" i="95"/>
  <c r="AY251" i="95"/>
  <c r="AS153" i="95"/>
  <c r="AX153" i="95" s="1"/>
  <c r="AY153" i="95" s="1"/>
  <c r="AE135" i="95"/>
  <c r="AV135" i="95" s="1"/>
  <c r="AW135" i="95" s="1"/>
  <c r="AY134" i="95"/>
  <c r="AE19" i="95"/>
  <c r="AV19" i="95" s="1"/>
  <c r="AW19" i="95" s="1"/>
  <c r="AS136" i="95"/>
  <c r="AB23" i="95"/>
  <c r="AY85" i="95"/>
  <c r="W75" i="95"/>
  <c r="AE75" i="95" s="1"/>
  <c r="AV75" i="95" s="1"/>
  <c r="AW75" i="95" s="1"/>
  <c r="AE50" i="95"/>
  <c r="AV50" i="95" s="1"/>
  <c r="AW50" i="95" s="1"/>
  <c r="AY293" i="95"/>
  <c r="AV478" i="95"/>
  <c r="AW478" i="95" s="1"/>
  <c r="AW467" i="95"/>
  <c r="X438" i="95"/>
  <c r="AE327" i="95"/>
  <c r="AV327" i="95" s="1"/>
  <c r="AW327" i="95" s="1"/>
  <c r="W375" i="95"/>
  <c r="AE375" i="95" s="1"/>
  <c r="AV375" i="95" s="1"/>
  <c r="AW375" i="95" s="1"/>
  <c r="AE268" i="95"/>
  <c r="AY250" i="95"/>
  <c r="AY254" i="95"/>
  <c r="AS240" i="95"/>
  <c r="AE214" i="95"/>
  <c r="AV214" i="95" s="1"/>
  <c r="AW214" i="95" s="1"/>
  <c r="AS139" i="95"/>
  <c r="AX139" i="95" s="1"/>
  <c r="AY139" i="95" s="1"/>
  <c r="AG156" i="95"/>
  <c r="AG448" i="95" s="1"/>
  <c r="AY142" i="95"/>
  <c r="AW12" i="95"/>
  <c r="AY12" i="95"/>
  <c r="AY11" i="95"/>
  <c r="AE88" i="95"/>
  <c r="AV88" i="95" s="1"/>
  <c r="AW88" i="95" s="1"/>
  <c r="AY257" i="95"/>
  <c r="AE136" i="95"/>
  <c r="AV136" i="95" s="1"/>
  <c r="AW136" i="95" s="1"/>
  <c r="AY230" i="95"/>
  <c r="W438" i="95"/>
  <c r="AE438" i="95" s="1"/>
  <c r="AV438" i="95" s="1"/>
  <c r="AW438" i="95" s="1"/>
  <c r="AE423" i="95"/>
  <c r="AV423" i="95" s="1"/>
  <c r="AW423" i="95" s="1"/>
  <c r="AY453" i="95"/>
  <c r="AV464" i="95"/>
  <c r="AW453" i="95"/>
  <c r="AY248" i="95"/>
  <c r="AQ246" i="95"/>
  <c r="AI246" i="95"/>
  <c r="AN246" i="95"/>
  <c r="AP246" i="95"/>
  <c r="AO246" i="95"/>
  <c r="AM246" i="95"/>
  <c r="AL246" i="95"/>
  <c r="AV246" i="95"/>
  <c r="AW246" i="95" s="1"/>
  <c r="AJ246" i="95"/>
  <c r="AK246" i="95"/>
  <c r="AH246" i="95"/>
  <c r="W225" i="95"/>
  <c r="AE225" i="95" s="1"/>
  <c r="AV225" i="95" s="1"/>
  <c r="AW225" i="95" s="1"/>
  <c r="AE203" i="95"/>
  <c r="AV203" i="95" s="1"/>
  <c r="AS137" i="95"/>
  <c r="AX137" i="95" s="1"/>
  <c r="AY137" i="95" s="1"/>
  <c r="AD23" i="95"/>
  <c r="AD448" i="95" s="1"/>
  <c r="AD480" i="95" s="1"/>
  <c r="AE83" i="95"/>
  <c r="AV83" i="95" s="1"/>
  <c r="AW83" i="95" s="1"/>
  <c r="W312" i="95"/>
  <c r="AE312" i="95" s="1"/>
  <c r="AV312" i="95" s="1"/>
  <c r="AW312" i="95" s="1"/>
  <c r="AS260" i="95"/>
  <c r="AX260" i="95" s="1"/>
  <c r="AY260" i="95" s="1"/>
  <c r="AY262" i="95"/>
  <c r="AE247" i="95"/>
  <c r="AV247" i="95" s="1"/>
  <c r="W23" i="95"/>
  <c r="AE17" i="95"/>
  <c r="AV17" i="95" s="1"/>
  <c r="AW17" i="95" s="1"/>
  <c r="AY375" i="95"/>
  <c r="AY438" i="95"/>
  <c r="AY398" i="95"/>
  <c r="AY467" i="95"/>
  <c r="AY283" i="95"/>
  <c r="AW283" i="95"/>
  <c r="AE236" i="95"/>
  <c r="AV236" i="95" s="1"/>
  <c r="Y269" i="95"/>
  <c r="Y448" i="95" s="1"/>
  <c r="Y480" i="95" s="1"/>
  <c r="AX464" i="95"/>
  <c r="AY464" i="95" s="1"/>
  <c r="AS480" i="95"/>
  <c r="AX480" i="95" s="1"/>
  <c r="Q480" i="95"/>
  <c r="AU480" i="95" s="1"/>
  <c r="AU448" i="95"/>
  <c r="AE239" i="95"/>
  <c r="AV239" i="95" s="1"/>
  <c r="AE243" i="95"/>
  <c r="X269" i="95"/>
  <c r="AE269" i="95" s="1"/>
  <c r="AV269" i="95" s="1"/>
  <c r="AW269" i="95" s="1"/>
  <c r="AS145" i="95"/>
  <c r="AX145" i="95" s="1"/>
  <c r="AY145" i="95" s="1"/>
  <c r="W156" i="95"/>
  <c r="AE156" i="95" s="1"/>
  <c r="AV156" i="95" s="1"/>
  <c r="AW156" i="95" s="1"/>
  <c r="AE101" i="95"/>
  <c r="AV101" i="95" s="1"/>
  <c r="AW101" i="95" s="1"/>
  <c r="W134" i="95"/>
  <c r="AE134" i="95" s="1"/>
  <c r="AV134" i="95" s="1"/>
  <c r="AW134" i="95" s="1"/>
  <c r="X23" i="95"/>
  <c r="AV243" i="95" l="1"/>
  <c r="AW243" i="95" s="1"/>
  <c r="AM243" i="95"/>
  <c r="AR243" i="95"/>
  <c r="AJ243" i="95"/>
  <c r="AK243" i="95"/>
  <c r="AI243" i="95"/>
  <c r="AH243" i="95"/>
  <c r="AQ243" i="95"/>
  <c r="AQ269" i="95" s="1"/>
  <c r="AQ448" i="95" s="1"/>
  <c r="AQ480" i="95" s="1"/>
  <c r="AO243" i="95"/>
  <c r="AL243" i="95"/>
  <c r="AP243" i="95"/>
  <c r="AN243" i="95"/>
  <c r="AW236" i="95"/>
  <c r="AY236" i="95"/>
  <c r="AS246" i="95"/>
  <c r="AX246" i="95" s="1"/>
  <c r="AO268" i="95"/>
  <c r="AN268" i="95"/>
  <c r="AK268" i="95"/>
  <c r="AM268" i="95"/>
  <c r="AL268" i="95"/>
  <c r="AJ268" i="95"/>
  <c r="AV268" i="95"/>
  <c r="AW268" i="95" s="1"/>
  <c r="AI268" i="95"/>
  <c r="AH268" i="95"/>
  <c r="AS268" i="95" s="1"/>
  <c r="AX268" i="95" s="1"/>
  <c r="AY268" i="95" s="1"/>
  <c r="AR268" i="95"/>
  <c r="AQ268" i="95"/>
  <c r="AP268" i="95"/>
  <c r="AS264" i="95"/>
  <c r="AX264" i="95" s="1"/>
  <c r="AW464" i="95"/>
  <c r="AV480" i="95"/>
  <c r="AW480" i="95" s="1"/>
  <c r="AY239" i="95"/>
  <c r="AW239" i="95"/>
  <c r="AG480" i="95"/>
  <c r="AE23" i="95"/>
  <c r="AV23" i="95" s="1"/>
  <c r="W448" i="95"/>
  <c r="AX240" i="95"/>
  <c r="AY240" i="95" s="1"/>
  <c r="AB448" i="95"/>
  <c r="AB480" i="95" s="1"/>
  <c r="AY203" i="95"/>
  <c r="AW203" i="95"/>
  <c r="X448" i="95"/>
  <c r="X480" i="95" s="1"/>
  <c r="AW247" i="95"/>
  <c r="AY247" i="95"/>
  <c r="AY225" i="95"/>
  <c r="AY312" i="95"/>
  <c r="AX136" i="95"/>
  <c r="AS156" i="95"/>
  <c r="AX156" i="95" s="1"/>
  <c r="AY156" i="95" s="1"/>
  <c r="AP249" i="95"/>
  <c r="AH249" i="95"/>
  <c r="AV249" i="95"/>
  <c r="AW249" i="95" s="1"/>
  <c r="AM249" i="95"/>
  <c r="AJ249" i="95"/>
  <c r="AI249" i="95"/>
  <c r="AR249" i="95"/>
  <c r="AQ249" i="95"/>
  <c r="AN249" i="95"/>
  <c r="AO249" i="95"/>
  <c r="AL249" i="95"/>
  <c r="AK249" i="95"/>
  <c r="AS243" i="95" l="1"/>
  <c r="AH269" i="95"/>
  <c r="AH448" i="95" s="1"/>
  <c r="AI269" i="95"/>
  <c r="AI448" i="95" s="1"/>
  <c r="AI480" i="95" s="1"/>
  <c r="AK269" i="95"/>
  <c r="AK448" i="95" s="1"/>
  <c r="AK480" i="95" s="1"/>
  <c r="W480" i="95"/>
  <c r="AE448" i="95"/>
  <c r="AN269" i="95"/>
  <c r="AN448" i="95" s="1"/>
  <c r="AN480" i="95" s="1"/>
  <c r="AJ269" i="95"/>
  <c r="AJ448" i="95" s="1"/>
  <c r="AJ480" i="95" s="1"/>
  <c r="AS249" i="95"/>
  <c r="AX249" i="95" s="1"/>
  <c r="AY249" i="95" s="1"/>
  <c r="AY480" i="95"/>
  <c r="AW23" i="95"/>
  <c r="AY23" i="95"/>
  <c r="AP269" i="95"/>
  <c r="AP448" i="95" s="1"/>
  <c r="AP480" i="95" s="1"/>
  <c r="AR269" i="95"/>
  <c r="AR448" i="95" s="1"/>
  <c r="AR480" i="95" s="1"/>
  <c r="AL269" i="95"/>
  <c r="AL448" i="95" s="1"/>
  <c r="AL480" i="95" s="1"/>
  <c r="AM269" i="95"/>
  <c r="AM448" i="95" s="1"/>
  <c r="AM480" i="95" s="1"/>
  <c r="AO269" i="95"/>
  <c r="AO448" i="95" s="1"/>
  <c r="AO480" i="95" s="1"/>
  <c r="AE480" i="95" l="1"/>
  <c r="AV448" i="95"/>
  <c r="AW448" i="95" s="1"/>
  <c r="AH480" i="95"/>
  <c r="AS448" i="95"/>
  <c r="AX448" i="95" s="1"/>
  <c r="AX243" i="95"/>
  <c r="AS269" i="95"/>
  <c r="AX269" i="95" s="1"/>
  <c r="AY269" i="95" s="1"/>
  <c r="AY448" i="95" l="1"/>
  <c r="G4" i="64" l="1"/>
  <c r="S65" i="64" l="1"/>
  <c r="R65" i="64"/>
  <c r="S56" i="64"/>
  <c r="I62" i="93" s="1"/>
  <c r="R56" i="64"/>
  <c r="H62" i="93" s="1"/>
  <c r="S55" i="64"/>
  <c r="I55" i="93" s="1"/>
  <c r="R55" i="64"/>
  <c r="H55" i="93" s="1"/>
  <c r="S54" i="64"/>
  <c r="I54" i="93" s="1"/>
  <c r="R54" i="64"/>
  <c r="H54" i="93" s="1"/>
  <c r="S52" i="64"/>
  <c r="R52" i="64"/>
  <c r="S51" i="64"/>
  <c r="R51" i="64"/>
  <c r="S48" i="64"/>
  <c r="I61" i="93" s="1"/>
  <c r="R48" i="64"/>
  <c r="H61" i="93" s="1"/>
  <c r="S46" i="64"/>
  <c r="I60" i="93" s="1"/>
  <c r="R46" i="64"/>
  <c r="H60" i="93" s="1"/>
  <c r="S43" i="64"/>
  <c r="S41" i="64"/>
  <c r="I70" i="93" s="1"/>
  <c r="R41" i="64"/>
  <c r="H70" i="93" s="1"/>
  <c r="S40" i="64"/>
  <c r="R40" i="64"/>
  <c r="S37" i="64"/>
  <c r="I59" i="93" s="1"/>
  <c r="R37" i="64"/>
  <c r="H59" i="93" s="1"/>
  <c r="S36" i="64"/>
  <c r="I58" i="93" s="1"/>
  <c r="R36" i="64"/>
  <c r="H58" i="93" s="1"/>
  <c r="S33" i="64"/>
  <c r="R33" i="64"/>
  <c r="S32" i="64"/>
  <c r="R32" i="64"/>
  <c r="S29" i="64"/>
  <c r="R29" i="64"/>
  <c r="S28" i="64"/>
  <c r="R28" i="64"/>
  <c r="S26" i="64"/>
  <c r="I49" i="93" s="1"/>
  <c r="R26" i="64"/>
  <c r="H49" i="93" s="1"/>
  <c r="S24" i="64"/>
  <c r="I57" i="93" s="1"/>
  <c r="R24" i="64"/>
  <c r="H57" i="93" s="1"/>
  <c r="S23" i="64"/>
  <c r="I56" i="93" s="1"/>
  <c r="R23" i="64"/>
  <c r="H56" i="93" s="1"/>
  <c r="S21" i="64"/>
  <c r="I64" i="93" s="1"/>
  <c r="R21" i="64"/>
  <c r="H64" i="93" s="1"/>
  <c r="S19" i="64"/>
  <c r="I63" i="93" s="1"/>
  <c r="R19" i="64"/>
  <c r="H63" i="93" s="1"/>
  <c r="S17" i="64"/>
  <c r="I51" i="93" s="1"/>
  <c r="R17" i="64"/>
  <c r="H51" i="93" s="1"/>
  <c r="S16" i="64"/>
  <c r="R16" i="64"/>
  <c r="S14" i="64"/>
  <c r="R14" i="64"/>
  <c r="S12" i="64"/>
  <c r="I68" i="93" s="1"/>
  <c r="R12" i="64"/>
  <c r="H68" i="93" s="1"/>
  <c r="S11" i="64"/>
  <c r="I67" i="93" s="1"/>
  <c r="R11" i="64"/>
  <c r="H67" i="93" s="1"/>
  <c r="J184" i="68" l="1"/>
  <c r="I184" i="68"/>
  <c r="H184" i="68"/>
  <c r="G184" i="68"/>
  <c r="G185" i="68" s="1"/>
  <c r="F184" i="68"/>
  <c r="F185" i="68" s="1"/>
  <c r="J183" i="68"/>
  <c r="I183" i="68"/>
  <c r="H183" i="68"/>
  <c r="G183" i="68"/>
  <c r="F183" i="68"/>
  <c r="J182" i="68"/>
  <c r="I182" i="68"/>
  <c r="H182" i="68"/>
  <c r="G182" i="68"/>
  <c r="F182" i="68"/>
  <c r="J181" i="68"/>
  <c r="I181" i="68"/>
  <c r="H181" i="68"/>
  <c r="G181" i="68"/>
  <c r="F181" i="68"/>
  <c r="J180" i="68"/>
  <c r="I180" i="68"/>
  <c r="H180" i="68"/>
  <c r="G180" i="68"/>
  <c r="F180" i="68"/>
  <c r="G175" i="68"/>
  <c r="F175" i="68"/>
  <c r="J174" i="68"/>
  <c r="I174" i="68"/>
  <c r="H174" i="68"/>
  <c r="G174" i="68"/>
  <c r="F174" i="68"/>
  <c r="E174" i="68"/>
  <c r="D174" i="68"/>
  <c r="J173" i="68"/>
  <c r="I173" i="68"/>
  <c r="H173" i="68"/>
  <c r="G173" i="68"/>
  <c r="F173" i="68"/>
  <c r="E173" i="68"/>
  <c r="D173" i="68"/>
  <c r="J172" i="68"/>
  <c r="I172" i="68"/>
  <c r="H172" i="68"/>
  <c r="G172" i="68"/>
  <c r="F172" i="68"/>
  <c r="E172" i="68"/>
  <c r="D172" i="68"/>
  <c r="J171" i="68"/>
  <c r="I171" i="68"/>
  <c r="I175" i="68" s="1"/>
  <c r="H171" i="68"/>
  <c r="H175" i="68" s="1"/>
  <c r="G171" i="68"/>
  <c r="F171" i="68"/>
  <c r="E171" i="68"/>
  <c r="E175" i="68" s="1"/>
  <c r="D171" i="68"/>
  <c r="D175" i="68" s="1"/>
  <c r="J169" i="68"/>
  <c r="K169" i="68" s="1"/>
  <c r="I169" i="68"/>
  <c r="H169" i="68"/>
  <c r="G169" i="68"/>
  <c r="F169" i="68"/>
  <c r="E169" i="68"/>
  <c r="D169" i="68"/>
  <c r="J166" i="68"/>
  <c r="I166" i="68"/>
  <c r="H166" i="68"/>
  <c r="G166" i="68"/>
  <c r="F166" i="68"/>
  <c r="E166" i="68"/>
  <c r="D166" i="68"/>
  <c r="H165" i="68"/>
  <c r="J164" i="68"/>
  <c r="I164" i="68"/>
  <c r="H164" i="68"/>
  <c r="H167" i="68" s="1"/>
  <c r="G164" i="68"/>
  <c r="F164" i="68"/>
  <c r="E164" i="68"/>
  <c r="D164" i="68"/>
  <c r="H162" i="68"/>
  <c r="G162" i="68"/>
  <c r="H161" i="68"/>
  <c r="G161" i="68"/>
  <c r="F161" i="68"/>
  <c r="J160" i="68"/>
  <c r="I160" i="68"/>
  <c r="H160" i="68"/>
  <c r="G160" i="68"/>
  <c r="F160" i="68"/>
  <c r="F162" i="68" s="1"/>
  <c r="E160" i="68"/>
  <c r="D160" i="68"/>
  <c r="J158" i="68"/>
  <c r="K158" i="68" s="1"/>
  <c r="I158" i="68"/>
  <c r="H158" i="68"/>
  <c r="G158" i="68"/>
  <c r="F158" i="68"/>
  <c r="E158" i="68"/>
  <c r="D158" i="68"/>
  <c r="E156" i="68"/>
  <c r="H155" i="68"/>
  <c r="E155" i="68"/>
  <c r="D155" i="68"/>
  <c r="J154" i="68"/>
  <c r="I154" i="68"/>
  <c r="H154" i="68"/>
  <c r="G154" i="68"/>
  <c r="F154" i="68"/>
  <c r="E154" i="68"/>
  <c r="D154" i="68"/>
  <c r="J153" i="68"/>
  <c r="I153" i="68"/>
  <c r="H153" i="68"/>
  <c r="G153" i="68"/>
  <c r="F153" i="68"/>
  <c r="E153" i="68"/>
  <c r="D153" i="68"/>
  <c r="J152" i="68"/>
  <c r="I152" i="68"/>
  <c r="H152" i="68"/>
  <c r="G152" i="68"/>
  <c r="F152" i="68"/>
  <c r="E152" i="68"/>
  <c r="D152" i="68"/>
  <c r="J151" i="68"/>
  <c r="I151" i="68"/>
  <c r="H151" i="68"/>
  <c r="G151" i="68"/>
  <c r="F151" i="68"/>
  <c r="E151" i="68"/>
  <c r="D151" i="68"/>
  <c r="J150" i="68"/>
  <c r="I150" i="68"/>
  <c r="H150" i="68"/>
  <c r="G150" i="68"/>
  <c r="F150" i="68"/>
  <c r="E150" i="68"/>
  <c r="D150" i="68"/>
  <c r="J149" i="68"/>
  <c r="I149" i="68"/>
  <c r="H149" i="68"/>
  <c r="H156" i="68" s="1"/>
  <c r="H176" i="68" s="1"/>
  <c r="H177" i="68" s="1"/>
  <c r="G149" i="68"/>
  <c r="F149" i="68"/>
  <c r="E149" i="68"/>
  <c r="D149" i="68"/>
  <c r="D156" i="68" s="1"/>
  <c r="E144" i="68"/>
  <c r="D144" i="68"/>
  <c r="J142" i="68"/>
  <c r="K142" i="68" s="1"/>
  <c r="I142" i="68"/>
  <c r="I144" i="68" s="1"/>
  <c r="G142" i="68"/>
  <c r="G144" i="68" s="1"/>
  <c r="F142" i="68"/>
  <c r="F144" i="68" s="1"/>
  <c r="E142" i="68"/>
  <c r="D142" i="68"/>
  <c r="K136" i="68"/>
  <c r="K135" i="68"/>
  <c r="K133" i="68"/>
  <c r="K132" i="68"/>
  <c r="K131" i="68"/>
  <c r="J128" i="68"/>
  <c r="K128" i="68" s="1"/>
  <c r="I128" i="68"/>
  <c r="I165" i="68" s="1"/>
  <c r="G128" i="68"/>
  <c r="F128" i="68"/>
  <c r="E128" i="68"/>
  <c r="D128" i="68"/>
  <c r="K118" i="68"/>
  <c r="K117" i="68"/>
  <c r="K116" i="68"/>
  <c r="K115" i="68"/>
  <c r="K112" i="68"/>
  <c r="K108" i="68"/>
  <c r="J108" i="68"/>
  <c r="J155" i="68" s="1"/>
  <c r="I108" i="68"/>
  <c r="I155" i="68" s="1"/>
  <c r="G108" i="68"/>
  <c r="G110" i="68" s="1"/>
  <c r="F108" i="68"/>
  <c r="F110" i="68" s="1"/>
  <c r="E108" i="68"/>
  <c r="E110" i="68" s="1"/>
  <c r="E146" i="68" s="1"/>
  <c r="D108" i="68"/>
  <c r="K83" i="68"/>
  <c r="K82" i="68"/>
  <c r="K80" i="68"/>
  <c r="I80" i="68"/>
  <c r="G80" i="68"/>
  <c r="F80" i="68"/>
  <c r="E80" i="68"/>
  <c r="E161" i="68" s="1"/>
  <c r="D80" i="68"/>
  <c r="D161" i="68" s="1"/>
  <c r="K52" i="68"/>
  <c r="J50" i="68"/>
  <c r="K50" i="68" s="1"/>
  <c r="I50" i="68"/>
  <c r="G50" i="68"/>
  <c r="F50" i="68"/>
  <c r="E50" i="68"/>
  <c r="D50" i="68"/>
  <c r="K46" i="68"/>
  <c r="K45" i="68"/>
  <c r="K44" i="68"/>
  <c r="K42" i="68"/>
  <c r="I42" i="68"/>
  <c r="G42" i="68"/>
  <c r="G165" i="68" s="1"/>
  <c r="F42" i="68"/>
  <c r="F165" i="68" s="1"/>
  <c r="E42" i="68"/>
  <c r="E165" i="68" s="1"/>
  <c r="D42" i="68"/>
  <c r="D165" i="68" s="1"/>
  <c r="J35" i="68"/>
  <c r="K9" i="68"/>
  <c r="K8" i="68"/>
  <c r="K7" i="68"/>
  <c r="K6" i="68"/>
  <c r="I161" i="68" l="1"/>
  <c r="R43" i="64"/>
  <c r="J175" i="68"/>
  <c r="G146" i="68"/>
  <c r="F167" i="68"/>
  <c r="I156" i="68"/>
  <c r="D162" i="68"/>
  <c r="D176" i="68" s="1"/>
  <c r="D177" i="68" s="1"/>
  <c r="K175" i="68"/>
  <c r="E162" i="68"/>
  <c r="I167" i="68"/>
  <c r="G167" i="68"/>
  <c r="J156" i="68"/>
  <c r="H185" i="68"/>
  <c r="D167" i="68"/>
  <c r="I185" i="68"/>
  <c r="F146" i="68"/>
  <c r="I162" i="68"/>
  <c r="E167" i="68"/>
  <c r="E176" i="68" s="1"/>
  <c r="E177" i="68" s="1"/>
  <c r="J185" i="68"/>
  <c r="D110" i="68"/>
  <c r="D146" i="68" s="1"/>
  <c r="F155" i="68"/>
  <c r="F156" i="68" s="1"/>
  <c r="F176" i="68" s="1"/>
  <c r="F177" i="68" s="1"/>
  <c r="J165" i="68"/>
  <c r="J167" i="68" s="1"/>
  <c r="G155" i="68"/>
  <c r="G156" i="68" s="1"/>
  <c r="G176" i="68" s="1"/>
  <c r="G177" i="68" s="1"/>
  <c r="J161" i="68"/>
  <c r="J162" i="68" s="1"/>
  <c r="I110" i="68"/>
  <c r="I146" i="68" s="1"/>
  <c r="J144" i="68"/>
  <c r="J110" i="68"/>
  <c r="K110" i="68" l="1"/>
  <c r="K162" i="68"/>
  <c r="K156" i="68"/>
  <c r="J176" i="68"/>
  <c r="K144" i="68"/>
  <c r="J146" i="68"/>
  <c r="K146" i="68" s="1"/>
  <c r="I176" i="68"/>
  <c r="I177" i="68" s="1"/>
  <c r="K167" i="68"/>
  <c r="K176" i="68" l="1"/>
  <c r="J177" i="68"/>
  <c r="F179" i="68" l="1"/>
  <c r="G179" i="68"/>
  <c r="H179" i="68"/>
  <c r="I179" i="68" l="1"/>
  <c r="J179" i="68"/>
  <c r="G56" i="64" l="1"/>
  <c r="G54" i="64"/>
  <c r="G43" i="64"/>
  <c r="G36" i="64"/>
  <c r="G32" i="64"/>
  <c r="G28" i="64"/>
  <c r="G26" i="64"/>
  <c r="G23" i="64"/>
  <c r="G20" i="64"/>
  <c r="G19" i="64"/>
  <c r="K45" i="64" l="1"/>
  <c r="J45" i="64"/>
  <c r="L45" i="64" s="1"/>
  <c r="D32" i="65"/>
  <c r="C52" i="65"/>
  <c r="C65" i="64"/>
  <c r="B65" i="64"/>
  <c r="C135" i="65"/>
  <c r="B135" i="65"/>
  <c r="B78" i="65"/>
  <c r="C38" i="64" l="1"/>
  <c r="B38" i="64"/>
  <c r="C103" i="65"/>
  <c r="B103" i="65"/>
  <c r="D102" i="65"/>
  <c r="C90" i="65"/>
  <c r="B90" i="65"/>
  <c r="B10" i="65"/>
  <c r="L57" i="64" l="1"/>
  <c r="D38" i="64"/>
  <c r="H20" i="93"/>
  <c r="I20" i="93"/>
  <c r="E5" i="83"/>
  <c r="B46" i="64"/>
  <c r="D134" i="65"/>
  <c r="D135" i="65" l="1"/>
  <c r="C46" i="64"/>
  <c r="E4" i="86" s="1"/>
  <c r="C122" i="65" l="1"/>
  <c r="B122" i="65"/>
  <c r="D119" i="65"/>
  <c r="C70" i="65"/>
  <c r="D70" i="65" s="1"/>
  <c r="B70" i="65"/>
  <c r="B26" i="64" s="1"/>
  <c r="H11" i="93" s="1"/>
  <c r="D69" i="65"/>
  <c r="B47" i="64" l="1"/>
  <c r="D122" i="65"/>
  <c r="C47" i="64"/>
  <c r="E5" i="86" s="1"/>
  <c r="C26" i="64"/>
  <c r="I11" i="93" s="1"/>
  <c r="C98" i="65" l="1"/>
  <c r="B98" i="65"/>
  <c r="C112" i="65"/>
  <c r="B112" i="65"/>
  <c r="C167" i="65"/>
  <c r="B167" i="65"/>
  <c r="D166" i="65"/>
  <c r="D159" i="65"/>
  <c r="D160" i="65"/>
  <c r="D50" i="65" l="1"/>
  <c r="G90" i="93" l="1"/>
  <c r="G125" i="93"/>
  <c r="G127" i="93" s="1"/>
  <c r="G132" i="93" s="1"/>
  <c r="G142" i="93" s="1"/>
  <c r="G143" i="93" s="1"/>
  <c r="G147" i="93" s="1"/>
  <c r="F123" i="93"/>
  <c r="F125" i="93" s="1"/>
  <c r="F127" i="93" s="1"/>
  <c r="F129" i="93" s="1"/>
  <c r="F132" i="93" s="1"/>
  <c r="F142" i="93" s="1"/>
  <c r="F143" i="93" s="1"/>
  <c r="F146" i="93" s="1"/>
  <c r="F147" i="93" s="1"/>
  <c r="F149" i="93" s="1"/>
  <c r="D123" i="93"/>
  <c r="D125" i="93" s="1"/>
  <c r="D127" i="93" s="1"/>
  <c r="D129" i="93" s="1"/>
  <c r="D132" i="93" s="1"/>
  <c r="D142" i="93" s="1"/>
  <c r="D143" i="93" s="1"/>
  <c r="D146" i="93" s="1"/>
  <c r="D147" i="93" s="1"/>
  <c r="D149" i="93" s="1"/>
  <c r="F110" i="93"/>
  <c r="D110" i="93"/>
  <c r="F47" i="93"/>
  <c r="F48" i="93" s="1"/>
  <c r="F52" i="93" s="1"/>
  <c r="F53" i="93" s="1"/>
  <c r="F65" i="93" s="1"/>
  <c r="F66" i="93" s="1"/>
  <c r="F69" i="93" s="1"/>
  <c r="F71" i="93" s="1"/>
  <c r="F72" i="93" s="1"/>
  <c r="E47" i="93"/>
  <c r="E48" i="93" s="1"/>
  <c r="E52" i="93" s="1"/>
  <c r="E53" i="93" s="1"/>
  <c r="E65" i="93" s="1"/>
  <c r="E66" i="93" s="1"/>
  <c r="E69" i="93" s="1"/>
  <c r="E71" i="93" s="1"/>
  <c r="E72" i="93" s="1"/>
  <c r="D86" i="93"/>
  <c r="G86" i="93"/>
  <c r="I86" i="93"/>
  <c r="F50" i="93" l="1"/>
  <c r="E50" i="93"/>
  <c r="I85" i="93" l="1"/>
  <c r="G85" i="93"/>
  <c r="I29" i="93"/>
  <c r="G29" i="93"/>
  <c r="I84" i="93"/>
  <c r="I83" i="93"/>
  <c r="G84" i="93"/>
  <c r="G83" i="93"/>
  <c r="G27" i="93"/>
  <c r="G26" i="93"/>
  <c r="I87" i="93"/>
  <c r="G87" i="93"/>
  <c r="H75" i="93"/>
  <c r="I75" i="93"/>
  <c r="H114" i="93"/>
  <c r="H100" i="93"/>
  <c r="I100" i="93"/>
  <c r="G13" i="93"/>
  <c r="G12" i="93"/>
  <c r="H99" i="93"/>
  <c r="I99" i="93"/>
  <c r="J87" i="77"/>
  <c r="G99" i="93"/>
  <c r="I74" i="93"/>
  <c r="G74" i="93"/>
  <c r="I35" i="93"/>
  <c r="I34" i="93"/>
  <c r="G35" i="93"/>
  <c r="G34" i="93"/>
  <c r="H113" i="93"/>
  <c r="I113" i="93"/>
  <c r="G113" i="93"/>
  <c r="I81" i="93"/>
  <c r="G81" i="93"/>
  <c r="G48" i="93"/>
  <c r="G110" i="93"/>
  <c r="I79" i="93"/>
  <c r="G79" i="93"/>
  <c r="G47" i="93"/>
  <c r="G43" i="93"/>
  <c r="G78" i="93"/>
  <c r="I122" i="93"/>
  <c r="I123" i="93" s="1"/>
  <c r="I125" i="93" s="1"/>
  <c r="I127" i="93" s="1"/>
  <c r="I129" i="93" s="1"/>
  <c r="I132" i="93" s="1"/>
  <c r="I142" i="93" s="1"/>
  <c r="I143" i="93" s="1"/>
  <c r="I147" i="93" s="1"/>
  <c r="I149" i="93" s="1"/>
  <c r="G46" i="93"/>
  <c r="G72" i="93" s="1"/>
  <c r="G31" i="93"/>
  <c r="G8" i="93"/>
  <c r="E94" i="93" l="1"/>
  <c r="G114" i="93" l="1"/>
  <c r="G9" i="93"/>
  <c r="E74" i="93"/>
  <c r="E75" i="93" s="1"/>
  <c r="E76" i="93" s="1"/>
  <c r="E14" i="89"/>
  <c r="G100" i="93" l="1"/>
  <c r="G10" i="93"/>
  <c r="G44" i="93"/>
  <c r="E81" i="93"/>
  <c r="E82" i="93" s="1"/>
  <c r="E84" i="93" s="1"/>
  <c r="E5" i="75" l="1"/>
  <c r="I43" i="93" s="1"/>
  <c r="E4" i="75"/>
  <c r="E85" i="93" l="1"/>
  <c r="E86" i="93" s="1"/>
  <c r="E91" i="93" s="1"/>
  <c r="E88" i="93"/>
  <c r="C6" i="84" l="1"/>
  <c r="E18" i="79" l="1"/>
  <c r="E17" i="79"/>
  <c r="I95" i="93" s="1"/>
  <c r="D18" i="79"/>
  <c r="D17" i="79"/>
  <c r="H35" i="67" l="1"/>
  <c r="D30" i="67"/>
  <c r="G5" i="67"/>
  <c r="C5" i="67"/>
  <c r="D6" i="66"/>
  <c r="AA4" i="72"/>
  <c r="I37" i="91" l="1"/>
  <c r="I98" i="93"/>
  <c r="G53" i="91" l="1"/>
  <c r="G54" i="91" s="1"/>
  <c r="G55" i="91" s="1"/>
  <c r="F53" i="91"/>
  <c r="F54" i="91" s="1"/>
  <c r="F55" i="91" s="1"/>
  <c r="D53" i="91"/>
  <c r="D54" i="91" s="1"/>
  <c r="D55" i="91" s="1"/>
  <c r="AJ5" i="72" l="1"/>
  <c r="AJ6" i="72" s="1"/>
  <c r="AJ7" i="72" s="1"/>
  <c r="AI5" i="72"/>
  <c r="AH5" i="72"/>
  <c r="AH6" i="72" s="1"/>
  <c r="AH7" i="72" s="1"/>
  <c r="G49" i="91"/>
  <c r="G50" i="91" s="1"/>
  <c r="G51" i="91" s="1"/>
  <c r="F49" i="91"/>
  <c r="F50" i="91" s="1"/>
  <c r="F51" i="91" s="1"/>
  <c r="E49" i="91"/>
  <c r="E50" i="91" s="1"/>
  <c r="E51" i="91" s="1"/>
  <c r="D49" i="91"/>
  <c r="D50" i="91" s="1"/>
  <c r="D51" i="91" s="1"/>
  <c r="G45" i="91"/>
  <c r="G46" i="91" s="1"/>
  <c r="G47" i="91" s="1"/>
  <c r="F45" i="91"/>
  <c r="F46" i="91" s="1"/>
  <c r="F47" i="91" s="1"/>
  <c r="E45" i="91"/>
  <c r="E46" i="91" s="1"/>
  <c r="E47" i="91" s="1"/>
  <c r="D45" i="91"/>
  <c r="D46" i="91" s="1"/>
  <c r="D47" i="91" s="1"/>
  <c r="I42" i="91"/>
  <c r="I41" i="91"/>
  <c r="F41" i="91"/>
  <c r="F42" i="91" s="1"/>
  <c r="F43" i="91" s="1"/>
  <c r="D41" i="91"/>
  <c r="D42" i="91" s="1"/>
  <c r="D43" i="91" s="1"/>
  <c r="I39" i="91"/>
  <c r="I38" i="91"/>
  <c r="G38" i="91"/>
  <c r="G39" i="91" s="1"/>
  <c r="F38" i="91"/>
  <c r="F39" i="91" s="1"/>
  <c r="D38" i="91"/>
  <c r="D39" i="91" s="1"/>
  <c r="G28" i="91"/>
  <c r="G29" i="91" s="1"/>
  <c r="G30" i="91" s="1"/>
  <c r="F28" i="91"/>
  <c r="F29" i="91" s="1"/>
  <c r="F30" i="91" s="1"/>
  <c r="E28" i="91"/>
  <c r="E29" i="91" s="1"/>
  <c r="E30" i="91" s="1"/>
  <c r="D28" i="91"/>
  <c r="D29" i="91" s="1"/>
  <c r="D30" i="91" s="1"/>
  <c r="F25" i="91"/>
  <c r="F26" i="91" s="1"/>
  <c r="E25" i="91"/>
  <c r="E26" i="91" s="1"/>
  <c r="D25" i="91"/>
  <c r="D26" i="91" s="1"/>
  <c r="G25" i="91"/>
  <c r="G26" i="91" s="1"/>
  <c r="F22" i="91"/>
  <c r="G21" i="91"/>
  <c r="G22" i="91" s="1"/>
  <c r="E22" i="91"/>
  <c r="E23" i="91" s="1"/>
  <c r="D22" i="91"/>
  <c r="D23" i="91" s="1"/>
  <c r="I20" i="91"/>
  <c r="I19" i="91"/>
  <c r="G19" i="91"/>
  <c r="G20" i="91" s="1"/>
  <c r="F19" i="91"/>
  <c r="F20" i="91" s="1"/>
  <c r="D19" i="91"/>
  <c r="D20" i="91" s="1"/>
  <c r="I17" i="91"/>
  <c r="I16" i="91"/>
  <c r="G16" i="91"/>
  <c r="G17" i="91" s="1"/>
  <c r="F16" i="91"/>
  <c r="F17" i="91" s="1"/>
  <c r="D16" i="91"/>
  <c r="D17" i="91" s="1"/>
  <c r="I14" i="91"/>
  <c r="I13" i="91"/>
  <c r="F13" i="91"/>
  <c r="F14" i="91" s="1"/>
  <c r="E13" i="91"/>
  <c r="E14" i="91" s="1"/>
  <c r="D13" i="91"/>
  <c r="D14" i="91" s="1"/>
  <c r="G12" i="91"/>
  <c r="G13" i="91" s="1"/>
  <c r="G14" i="91" s="1"/>
  <c r="F9" i="91"/>
  <c r="F10" i="91" s="1"/>
  <c r="F11" i="91" s="1"/>
  <c r="D9" i="91"/>
  <c r="D10" i="91" s="1"/>
  <c r="D11" i="91" s="1"/>
  <c r="G8" i="91"/>
  <c r="G9" i="91" s="1"/>
  <c r="G10" i="91" s="1"/>
  <c r="G11" i="91" s="1"/>
  <c r="AI6" i="72" l="1"/>
  <c r="AI7" i="72" l="1"/>
  <c r="B13" i="64" l="1"/>
  <c r="H9" i="93" l="1"/>
  <c r="I7" i="72"/>
  <c r="M4" i="72" s="1"/>
  <c r="H7" i="72"/>
  <c r="AN4" i="72" l="1"/>
  <c r="AM4" i="72"/>
  <c r="AL4" i="72"/>
  <c r="C30" i="64"/>
  <c r="E14" i="79" l="1"/>
  <c r="I90" i="93" l="1"/>
  <c r="K18" i="66"/>
  <c r="O28" i="66"/>
  <c r="E22" i="88" s="1"/>
  <c r="O26" i="66"/>
  <c r="E14" i="86" s="1"/>
  <c r="O25" i="66"/>
  <c r="O24" i="66"/>
  <c r="P24" i="66" s="1"/>
  <c r="O22" i="66"/>
  <c r="E18" i="83" s="1"/>
  <c r="O21" i="66"/>
  <c r="E17" i="82" s="1"/>
  <c r="O20" i="66"/>
  <c r="P20" i="66" s="1"/>
  <c r="O19" i="66"/>
  <c r="E13" i="80" s="1"/>
  <c r="O18" i="66"/>
  <c r="P18" i="66" s="1"/>
  <c r="O17" i="66"/>
  <c r="E16" i="78" s="1"/>
  <c r="O16" i="66"/>
  <c r="P16" i="66" s="1"/>
  <c r="N6" i="66"/>
  <c r="E10" i="89"/>
  <c r="E8" i="89"/>
  <c r="E7" i="89"/>
  <c r="E12" i="88"/>
  <c r="E7" i="88"/>
  <c r="E6" i="88"/>
  <c r="E7" i="86"/>
  <c r="E8" i="85"/>
  <c r="E6" i="85"/>
  <c r="E13" i="83"/>
  <c r="E8" i="83"/>
  <c r="E7" i="83"/>
  <c r="E8" i="82"/>
  <c r="E7" i="82"/>
  <c r="E11" i="81"/>
  <c r="E7" i="81"/>
  <c r="E6" i="81"/>
  <c r="E8" i="80"/>
  <c r="E6" i="80"/>
  <c r="E5" i="80"/>
  <c r="E16" i="79"/>
  <c r="E11" i="79"/>
  <c r="E8" i="79"/>
  <c r="E7" i="79"/>
  <c r="E11" i="78"/>
  <c r="E8" i="78"/>
  <c r="E6" i="78"/>
  <c r="P8" i="66"/>
  <c r="D29" i="66"/>
  <c r="D28" i="66"/>
  <c r="D24" i="66"/>
  <c r="D22" i="66"/>
  <c r="D21" i="66"/>
  <c r="D20" i="66"/>
  <c r="D19" i="66"/>
  <c r="D18" i="66"/>
  <c r="D17" i="66"/>
  <c r="D16" i="66"/>
  <c r="D8" i="66"/>
  <c r="H56" i="64"/>
  <c r="H54" i="64"/>
  <c r="I26" i="93"/>
  <c r="H26" i="93"/>
  <c r="I27" i="93"/>
  <c r="H43" i="64"/>
  <c r="H36" i="64"/>
  <c r="H32" i="64"/>
  <c r="H28" i="64"/>
  <c r="H26" i="64"/>
  <c r="H23" i="64"/>
  <c r="H20" i="64"/>
  <c r="P17" i="66" l="1"/>
  <c r="K7" i="66"/>
  <c r="L18" i="66"/>
  <c r="P26" i="66"/>
  <c r="P22" i="66"/>
  <c r="P19" i="66"/>
  <c r="P6" i="66"/>
  <c r="P25" i="66"/>
  <c r="E13" i="86"/>
  <c r="P7" i="66"/>
  <c r="D47" i="64"/>
  <c r="H27" i="93"/>
  <c r="P28" i="66"/>
  <c r="E12" i="85"/>
  <c r="P21" i="66"/>
  <c r="E20" i="81"/>
  <c r="E15" i="78"/>
  <c r="T44" i="64"/>
  <c r="C10" i="65"/>
  <c r="K6" i="66" l="1"/>
  <c r="D10" i="65"/>
  <c r="C13" i="64"/>
  <c r="I9" i="93" l="1"/>
  <c r="H4" i="64"/>
  <c r="I31" i="93"/>
  <c r="I12" i="91"/>
  <c r="E9" i="88"/>
  <c r="E8" i="88"/>
  <c r="E17" i="86"/>
  <c r="E18" i="85"/>
  <c r="C28" i="67"/>
  <c r="E20" i="83"/>
  <c r="E10" i="83"/>
  <c r="E9" i="83"/>
  <c r="E10" i="82"/>
  <c r="D9" i="82"/>
  <c r="E22" i="81"/>
  <c r="E21" i="81"/>
  <c r="D9" i="83" l="1"/>
  <c r="D8" i="88" s="1"/>
  <c r="D10" i="83"/>
  <c r="D9" i="88" s="1"/>
  <c r="E17" i="85"/>
  <c r="I102" i="93" s="1"/>
  <c r="D28" i="67"/>
  <c r="E15" i="80"/>
  <c r="E14" i="80"/>
  <c r="E21" i="79"/>
  <c r="D6" i="80"/>
  <c r="D7" i="81" s="1"/>
  <c r="D8" i="82" s="1"/>
  <c r="D8" i="83" s="1"/>
  <c r="D7" i="88" s="1"/>
  <c r="D8" i="89" s="1"/>
  <c r="D5" i="79"/>
  <c r="D4" i="79"/>
  <c r="D8" i="77"/>
  <c r="D10" i="78" s="1"/>
  <c r="D10" i="79" s="1"/>
  <c r="D10" i="81" s="1"/>
  <c r="D7" i="77"/>
  <c r="E10" i="75"/>
  <c r="I110" i="93" s="1"/>
  <c r="E6" i="75"/>
  <c r="I44" i="93" s="1"/>
  <c r="D4" i="75"/>
  <c r="E16" i="74"/>
  <c r="E12" i="74"/>
  <c r="I78" i="93" s="1"/>
  <c r="D4" i="80" l="1"/>
  <c r="D5" i="81"/>
  <c r="D5" i="85"/>
  <c r="D12" i="82"/>
  <c r="G53" i="93"/>
  <c r="D9" i="78"/>
  <c r="D9" i="79" s="1"/>
  <c r="D9" i="81" s="1"/>
  <c r="G50" i="93"/>
  <c r="D4" i="81"/>
  <c r="D4" i="82" s="1"/>
  <c r="L71" i="64"/>
  <c r="E7" i="76"/>
  <c r="D7" i="80" l="1"/>
  <c r="D12" i="83"/>
  <c r="G66" i="93"/>
  <c r="D4" i="83"/>
  <c r="D4" i="88" s="1"/>
  <c r="G21" i="93"/>
  <c r="D6" i="83"/>
  <c r="D5" i="88" s="1"/>
  <c r="G22" i="93"/>
  <c r="D11" i="82"/>
  <c r="G52" i="93"/>
  <c r="F6" i="66"/>
  <c r="H6" i="66" l="1"/>
  <c r="D11" i="83"/>
  <c r="G65" i="93"/>
  <c r="D4" i="85"/>
  <c r="G24" i="93" s="1"/>
  <c r="D11" i="88"/>
  <c r="D5" i="84"/>
  <c r="D10" i="86" s="1"/>
  <c r="D7" i="87" s="1"/>
  <c r="AN33" i="72"/>
  <c r="AN32" i="72"/>
  <c r="G26" i="70"/>
  <c r="E19" i="89"/>
  <c r="E21" i="85"/>
  <c r="E25" i="79"/>
  <c r="E23" i="82"/>
  <c r="E11" i="76"/>
  <c r="E23" i="83"/>
  <c r="E19" i="80"/>
  <c r="E25" i="78"/>
  <c r="C26" i="70" l="1"/>
  <c r="D7" i="85"/>
  <c r="G71" i="93" s="1"/>
  <c r="D4" i="84"/>
  <c r="D10" i="88"/>
  <c r="E20" i="77"/>
  <c r="E14" i="75"/>
  <c r="E25" i="81"/>
  <c r="E16" i="87"/>
  <c r="E21" i="86"/>
  <c r="E10" i="84"/>
  <c r="AB33" i="72"/>
  <c r="AB32" i="72"/>
  <c r="W4" i="72"/>
  <c r="U7" i="72"/>
  <c r="R7" i="72"/>
  <c r="X6" i="72"/>
  <c r="Z6" i="72" s="1"/>
  <c r="AB6" i="72" s="1"/>
  <c r="U6" i="72"/>
  <c r="R6" i="72"/>
  <c r="X5" i="72"/>
  <c r="Z5" i="72" s="1"/>
  <c r="AB5" i="72" s="1"/>
  <c r="U5" i="72"/>
  <c r="R5" i="72"/>
  <c r="V4" i="72"/>
  <c r="T4" i="72"/>
  <c r="S4" i="72"/>
  <c r="Q4" i="72"/>
  <c r="P4" i="72"/>
  <c r="N5" i="72"/>
  <c r="L6" i="72"/>
  <c r="N6" i="72" s="1"/>
  <c r="J7" i="72"/>
  <c r="L7" i="72" s="1"/>
  <c r="N7" i="72" s="1"/>
  <c r="I4" i="72"/>
  <c r="J6" i="72"/>
  <c r="J5" i="72"/>
  <c r="L5" i="72" s="1"/>
  <c r="H4" i="72"/>
  <c r="G7" i="72"/>
  <c r="G6" i="72"/>
  <c r="G5" i="72"/>
  <c r="F4" i="72"/>
  <c r="E4" i="72"/>
  <c r="D7" i="72"/>
  <c r="D6" i="72"/>
  <c r="D5" i="72"/>
  <c r="C4" i="72"/>
  <c r="B4" i="72"/>
  <c r="D4" i="72" s="1"/>
  <c r="AJ33" i="72"/>
  <c r="AJ32" i="72"/>
  <c r="AF33" i="72"/>
  <c r="AF32" i="72"/>
  <c r="D9" i="86" l="1"/>
  <c r="D6" i="87" s="1"/>
  <c r="G69" i="93"/>
  <c r="E28" i="88"/>
  <c r="H26" i="70"/>
  <c r="X4" i="72"/>
  <c r="Z4" i="72" s="1"/>
  <c r="AB4" i="72" s="1"/>
  <c r="U4" i="72"/>
  <c r="R4" i="72"/>
  <c r="X7" i="72"/>
  <c r="Z7" i="72" s="1"/>
  <c r="J4" i="72"/>
  <c r="G4" i="72"/>
  <c r="L4" i="72" l="1"/>
  <c r="N4" i="72" s="1"/>
  <c r="N33" i="72" l="1"/>
  <c r="N32" i="72"/>
  <c r="W7" i="70"/>
  <c r="V7" i="70"/>
  <c r="X7" i="70" l="1"/>
  <c r="W6" i="70"/>
  <c r="V6" i="70" l="1"/>
  <c r="X6" i="70" s="1"/>
  <c r="C4" i="70"/>
  <c r="R4" i="70" s="1"/>
  <c r="W4" i="70" s="1"/>
  <c r="B4" i="70"/>
  <c r="Q4" i="70" s="1"/>
  <c r="V4" i="70" s="1"/>
  <c r="X4" i="70" l="1"/>
  <c r="S4" i="70"/>
  <c r="T4" i="70" s="1"/>
  <c r="D4" i="70"/>
  <c r="E4" i="70" s="1"/>
  <c r="B26" i="70"/>
  <c r="W5" i="70"/>
  <c r="V5" i="70" l="1"/>
  <c r="E9" i="89" l="1"/>
  <c r="E7" i="87"/>
  <c r="E6" i="87"/>
  <c r="E10" i="86"/>
  <c r="E9" i="86"/>
  <c r="E5" i="84"/>
  <c r="H69" i="93"/>
  <c r="E12" i="83"/>
  <c r="E12" i="82"/>
  <c r="I66" i="93" s="1"/>
  <c r="H66" i="93"/>
  <c r="E11" i="82"/>
  <c r="I65" i="93" s="1"/>
  <c r="H65" i="93"/>
  <c r="H53" i="93"/>
  <c r="I52" i="93"/>
  <c r="H52" i="93"/>
  <c r="E7" i="80"/>
  <c r="E10" i="78"/>
  <c r="E9" i="78"/>
  <c r="E8" i="77"/>
  <c r="E7" i="77"/>
  <c r="I50" i="93" s="1"/>
  <c r="H50" i="93"/>
  <c r="H48" i="93"/>
  <c r="E11" i="88"/>
  <c r="E10" i="88"/>
  <c r="E11" i="83"/>
  <c r="E10" i="81" l="1"/>
  <c r="I53" i="93"/>
  <c r="E4" i="84"/>
  <c r="I69" i="93"/>
  <c r="E5" i="76"/>
  <c r="I48" i="93"/>
  <c r="R27" i="64"/>
  <c r="E10" i="74"/>
  <c r="E9" i="81"/>
  <c r="S27" i="64"/>
  <c r="E11" i="74"/>
  <c r="R6" i="64"/>
  <c r="H71" i="93"/>
  <c r="R22" i="64"/>
  <c r="R26" i="70"/>
  <c r="Q26" i="70"/>
  <c r="E7" i="85" l="1"/>
  <c r="I71" i="93"/>
  <c r="S5" i="64"/>
  <c r="E9" i="79"/>
  <c r="R5" i="64"/>
  <c r="R4" i="64" s="1"/>
  <c r="S22" i="64"/>
  <c r="E10" i="79" l="1"/>
  <c r="S6" i="64"/>
  <c r="I23" i="91" s="1"/>
  <c r="B30" i="64"/>
  <c r="D30" i="64" s="1"/>
  <c r="D77" i="65"/>
  <c r="C44" i="64"/>
  <c r="B44" i="64"/>
  <c r="H25" i="93" s="1"/>
  <c r="D114" i="65"/>
  <c r="C34" i="64"/>
  <c r="B34" i="64"/>
  <c r="H23" i="93" s="1"/>
  <c r="D90" i="65"/>
  <c r="S4" i="64" l="1"/>
  <c r="I46" i="93" s="1"/>
  <c r="E5" i="85"/>
  <c r="I25" i="93"/>
  <c r="E6" i="82"/>
  <c r="I23" i="93"/>
  <c r="C64" i="65"/>
  <c r="B64" i="65"/>
  <c r="B25" i="64" s="1"/>
  <c r="B7" i="64" s="1"/>
  <c r="D63" i="65"/>
  <c r="D62" i="65"/>
  <c r="G34" i="67"/>
  <c r="C34" i="67"/>
  <c r="E23" i="88" s="1"/>
  <c r="E19" i="83"/>
  <c r="G24" i="67"/>
  <c r="E18" i="82"/>
  <c r="E24" i="88" l="1"/>
  <c r="I117" i="93"/>
  <c r="E19" i="82"/>
  <c r="I115" i="93"/>
  <c r="I21" i="91"/>
  <c r="I22" i="91" s="1"/>
  <c r="C25" i="64"/>
  <c r="D64" i="65"/>
  <c r="H20" i="67"/>
  <c r="H19" i="67"/>
  <c r="G17" i="67"/>
  <c r="I114" i="93" s="1"/>
  <c r="E20" i="78"/>
  <c r="H6" i="67"/>
  <c r="H5" i="67"/>
  <c r="H34" i="67"/>
  <c r="H28" i="67"/>
  <c r="H27" i="67"/>
  <c r="H26" i="67"/>
  <c r="H24" i="67"/>
  <c r="H22" i="67"/>
  <c r="H21" i="67"/>
  <c r="H18" i="67"/>
  <c r="H16" i="67"/>
  <c r="H13" i="67"/>
  <c r="D34" i="67"/>
  <c r="D26" i="67"/>
  <c r="D24" i="67"/>
  <c r="D22" i="67"/>
  <c r="D20" i="67"/>
  <c r="D18" i="67"/>
  <c r="D16" i="67"/>
  <c r="D13" i="67"/>
  <c r="D7" i="67"/>
  <c r="D6" i="67"/>
  <c r="D5" i="67"/>
  <c r="D4" i="67"/>
  <c r="E6" i="79" l="1"/>
  <c r="I11" i="91"/>
  <c r="D19" i="67"/>
  <c r="E20" i="79"/>
  <c r="H17" i="67"/>
  <c r="E21" i="78"/>
  <c r="D17" i="67"/>
  <c r="H7" i="67"/>
  <c r="I43" i="91"/>
  <c r="T65" i="64"/>
  <c r="T60" i="64"/>
  <c r="P65" i="64" l="1"/>
  <c r="H7" i="64" l="1"/>
  <c r="H6" i="64"/>
  <c r="H5" i="64"/>
  <c r="C113" i="65" l="1"/>
  <c r="B113" i="65"/>
  <c r="D98" i="65"/>
  <c r="B100" i="65"/>
  <c r="B52" i="65"/>
  <c r="C23" i="64" l="1"/>
  <c r="C43" i="64"/>
  <c r="B115" i="65"/>
  <c r="B43" i="64"/>
  <c r="H24" i="93" s="1"/>
  <c r="D113" i="65"/>
  <c r="C115" i="65"/>
  <c r="E4" i="85" l="1"/>
  <c r="I24" i="93"/>
  <c r="P60" i="64"/>
  <c r="E8" i="81"/>
  <c r="P23" i="64"/>
  <c r="O22" i="64"/>
  <c r="N22" i="64"/>
  <c r="J7" i="66"/>
  <c r="L7" i="66" s="1"/>
  <c r="P22" i="64" l="1"/>
  <c r="E9" i="82"/>
  <c r="J6" i="66"/>
  <c r="L6" i="66" s="1"/>
  <c r="T56" i="64"/>
  <c r="T55" i="64"/>
  <c r="T54" i="64"/>
  <c r="S53" i="64"/>
  <c r="R53" i="64"/>
  <c r="T52" i="64"/>
  <c r="T51" i="64"/>
  <c r="S50" i="64"/>
  <c r="I72" i="93" s="1"/>
  <c r="R50" i="64"/>
  <c r="H72" i="93" s="1"/>
  <c r="D52" i="64"/>
  <c r="D51" i="64"/>
  <c r="C50" i="64"/>
  <c r="B50" i="64"/>
  <c r="D50" i="64" s="1"/>
  <c r="T48" i="64"/>
  <c r="T46" i="64"/>
  <c r="S45" i="64"/>
  <c r="R45" i="64"/>
  <c r="D48" i="64"/>
  <c r="S42" i="64"/>
  <c r="R42" i="64"/>
  <c r="T43" i="64"/>
  <c r="T41" i="64"/>
  <c r="T40" i="64"/>
  <c r="S39" i="64"/>
  <c r="R39" i="64"/>
  <c r="D41" i="64"/>
  <c r="D40" i="64"/>
  <c r="C39" i="64"/>
  <c r="B39" i="64"/>
  <c r="D39" i="64" s="1"/>
  <c r="T37" i="64"/>
  <c r="T36" i="64"/>
  <c r="S35" i="64"/>
  <c r="R35" i="64"/>
  <c r="T33" i="64"/>
  <c r="T32" i="64"/>
  <c r="S31" i="64"/>
  <c r="R31" i="64"/>
  <c r="T29" i="64"/>
  <c r="T28" i="64"/>
  <c r="T26" i="64"/>
  <c r="T24" i="64"/>
  <c r="T23" i="64"/>
  <c r="T21" i="64"/>
  <c r="T19" i="64"/>
  <c r="S18" i="64"/>
  <c r="R18" i="64"/>
  <c r="T17" i="64"/>
  <c r="T16" i="64"/>
  <c r="S15" i="64"/>
  <c r="R15" i="64"/>
  <c r="D17" i="64"/>
  <c r="D16" i="64"/>
  <c r="C15" i="64"/>
  <c r="B15" i="64"/>
  <c r="D15" i="64" s="1"/>
  <c r="T14" i="64"/>
  <c r="P13" i="64"/>
  <c r="T12" i="64"/>
  <c r="T11" i="64"/>
  <c r="S10" i="64"/>
  <c r="R10" i="64"/>
  <c r="D12" i="64"/>
  <c r="D11" i="64"/>
  <c r="C10" i="64"/>
  <c r="B10" i="64"/>
  <c r="D10" i="64" s="1"/>
  <c r="P55" i="64"/>
  <c r="P54" i="64"/>
  <c r="O53" i="64"/>
  <c r="N53" i="64"/>
  <c r="P37" i="64"/>
  <c r="P36" i="64"/>
  <c r="O35" i="64"/>
  <c r="N35" i="64"/>
  <c r="P33" i="64"/>
  <c r="P32" i="64"/>
  <c r="O31" i="64"/>
  <c r="N31" i="64"/>
  <c r="P29" i="64"/>
  <c r="P28" i="64"/>
  <c r="O27" i="64"/>
  <c r="N27" i="64"/>
  <c r="P14" i="64"/>
  <c r="D58" i="65"/>
  <c r="D49" i="65"/>
  <c r="T7" i="64"/>
  <c r="T6" i="64"/>
  <c r="T5" i="64"/>
  <c r="P7" i="64"/>
  <c r="P6" i="64"/>
  <c r="P5" i="64"/>
  <c r="L7" i="64"/>
  <c r="L6" i="64"/>
  <c r="L5" i="64"/>
  <c r="D64" i="64"/>
  <c r="D63" i="64"/>
  <c r="D62" i="64"/>
  <c r="D61" i="64"/>
  <c r="D60" i="64"/>
  <c r="D44" i="64"/>
  <c r="D34" i="64"/>
  <c r="D25" i="64"/>
  <c r="D13" i="64"/>
  <c r="D7" i="64"/>
  <c r="C56" i="64"/>
  <c r="B56" i="64"/>
  <c r="H30" i="93" s="1"/>
  <c r="D165" i="65"/>
  <c r="D164" i="65"/>
  <c r="D163" i="65"/>
  <c r="D162" i="65"/>
  <c r="D161" i="65"/>
  <c r="C155" i="65"/>
  <c r="C55" i="64" s="1"/>
  <c r="B155" i="65"/>
  <c r="B55" i="64" s="1"/>
  <c r="H15" i="93" s="1"/>
  <c r="D154" i="65"/>
  <c r="D153" i="65"/>
  <c r="D152" i="65"/>
  <c r="C151" i="65"/>
  <c r="B151" i="65"/>
  <c r="D150" i="65"/>
  <c r="D149" i="65"/>
  <c r="D148" i="65"/>
  <c r="D147" i="65"/>
  <c r="D146" i="65"/>
  <c r="D145" i="65"/>
  <c r="D144" i="65"/>
  <c r="D143" i="65"/>
  <c r="D142" i="65"/>
  <c r="D133" i="65"/>
  <c r="D132" i="65"/>
  <c r="D131" i="65"/>
  <c r="D130" i="65"/>
  <c r="D129" i="65"/>
  <c r="D128" i="65"/>
  <c r="D127" i="65"/>
  <c r="D126" i="65"/>
  <c r="D125" i="65"/>
  <c r="D124" i="65"/>
  <c r="D121" i="65"/>
  <c r="D120" i="65"/>
  <c r="D118" i="65"/>
  <c r="C42" i="64"/>
  <c r="D112" i="65"/>
  <c r="D111" i="65"/>
  <c r="D110" i="65"/>
  <c r="D109" i="65"/>
  <c r="D108" i="65"/>
  <c r="D107" i="65"/>
  <c r="D106" i="65"/>
  <c r="C37" i="64"/>
  <c r="B37" i="64"/>
  <c r="H19" i="93" s="1"/>
  <c r="D101" i="65"/>
  <c r="C100" i="65"/>
  <c r="D99" i="65"/>
  <c r="D97" i="65"/>
  <c r="D96" i="65"/>
  <c r="D95" i="65"/>
  <c r="D94" i="65"/>
  <c r="C89" i="65"/>
  <c r="B89" i="65"/>
  <c r="B33" i="64" s="1"/>
  <c r="H22" i="93" s="1"/>
  <c r="D88" i="65"/>
  <c r="D87" i="65"/>
  <c r="C86" i="65"/>
  <c r="B86" i="65"/>
  <c r="D85" i="65"/>
  <c r="D82" i="65"/>
  <c r="D81" i="65"/>
  <c r="C29" i="64"/>
  <c r="B29" i="64"/>
  <c r="H17" i="93" s="1"/>
  <c r="D76" i="65"/>
  <c r="C75" i="65"/>
  <c r="C78" i="65" s="1"/>
  <c r="B75" i="65"/>
  <c r="D74" i="65"/>
  <c r="D73" i="65"/>
  <c r="E4" i="80"/>
  <c r="D68" i="65"/>
  <c r="C61" i="65"/>
  <c r="B61" i="65"/>
  <c r="B65" i="65" s="1"/>
  <c r="B169" i="65" s="1"/>
  <c r="D60" i="65"/>
  <c r="D59" i="65"/>
  <c r="D57" i="65"/>
  <c r="D56" i="65"/>
  <c r="D55" i="65"/>
  <c r="D54" i="65"/>
  <c r="D53" i="65"/>
  <c r="D51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0" i="65"/>
  <c r="C21" i="64"/>
  <c r="B21" i="64"/>
  <c r="D24" i="65"/>
  <c r="C23" i="65"/>
  <c r="B23" i="65"/>
  <c r="B25" i="65" s="1"/>
  <c r="D22" i="65"/>
  <c r="D21" i="65"/>
  <c r="D29" i="65"/>
  <c r="D20" i="65"/>
  <c r="D19" i="65"/>
  <c r="D28" i="65"/>
  <c r="D18" i="65"/>
  <c r="D17" i="65"/>
  <c r="D16" i="65"/>
  <c r="C14" i="64"/>
  <c r="B14" i="64"/>
  <c r="D13" i="65"/>
  <c r="E4" i="89" l="1"/>
  <c r="I30" i="93"/>
  <c r="E6" i="83"/>
  <c r="I19" i="93"/>
  <c r="E5" i="81"/>
  <c r="I17" i="93"/>
  <c r="E5" i="88"/>
  <c r="I15" i="93"/>
  <c r="O57" i="64"/>
  <c r="N57" i="64"/>
  <c r="C36" i="64"/>
  <c r="I18" i="93" s="1"/>
  <c r="C33" i="64"/>
  <c r="I22" i="93" s="1"/>
  <c r="H13" i="93"/>
  <c r="I10" i="93"/>
  <c r="E5" i="78"/>
  <c r="I13" i="93"/>
  <c r="H10" i="93"/>
  <c r="E4" i="76"/>
  <c r="B32" i="64"/>
  <c r="B91" i="65"/>
  <c r="C32" i="64"/>
  <c r="C91" i="65"/>
  <c r="C156" i="65"/>
  <c r="D78" i="65"/>
  <c r="C24" i="64"/>
  <c r="E5" i="79" s="1"/>
  <c r="C65" i="65"/>
  <c r="C169" i="65" s="1"/>
  <c r="T35" i="64"/>
  <c r="T27" i="64"/>
  <c r="T39" i="64"/>
  <c r="T45" i="64"/>
  <c r="T22" i="64"/>
  <c r="D65" i="64"/>
  <c r="P35" i="64"/>
  <c r="T42" i="64"/>
  <c r="T31" i="64"/>
  <c r="P27" i="64"/>
  <c r="T18" i="64"/>
  <c r="B24" i="64"/>
  <c r="D139" i="65"/>
  <c r="D167" i="65"/>
  <c r="B156" i="65"/>
  <c r="D103" i="65"/>
  <c r="D151" i="65"/>
  <c r="D155" i="65"/>
  <c r="B54" i="64"/>
  <c r="H14" i="93" s="1"/>
  <c r="C54" i="64"/>
  <c r="I14" i="93" s="1"/>
  <c r="D46" i="64"/>
  <c r="P53" i="64"/>
  <c r="P31" i="64"/>
  <c r="T53" i="64"/>
  <c r="T50" i="64"/>
  <c r="D14" i="64"/>
  <c r="D43" i="64"/>
  <c r="D56" i="64"/>
  <c r="D26" i="64"/>
  <c r="R57" i="64"/>
  <c r="R71" i="64" s="1"/>
  <c r="S57" i="64"/>
  <c r="S71" i="64" s="1"/>
  <c r="T15" i="64"/>
  <c r="D37" i="64"/>
  <c r="D21" i="64"/>
  <c r="D29" i="64"/>
  <c r="T10" i="64"/>
  <c r="D55" i="64"/>
  <c r="B36" i="64"/>
  <c r="H18" i="93" s="1"/>
  <c r="D115" i="65"/>
  <c r="D100" i="65"/>
  <c r="B28" i="64"/>
  <c r="D23" i="65"/>
  <c r="B42" i="64"/>
  <c r="D42" i="64" s="1"/>
  <c r="D61" i="65"/>
  <c r="D89" i="65"/>
  <c r="D86" i="65"/>
  <c r="D52" i="65"/>
  <c r="B23" i="64"/>
  <c r="D75" i="65"/>
  <c r="C28" i="64"/>
  <c r="I16" i="93" s="1"/>
  <c r="E4" i="79"/>
  <c r="B19" i="64"/>
  <c r="H12" i="93" s="1"/>
  <c r="C25" i="65"/>
  <c r="C19" i="64"/>
  <c r="B27" i="64" l="1"/>
  <c r="H16" i="93"/>
  <c r="D36" i="64"/>
  <c r="B35" i="64"/>
  <c r="E4" i="83"/>
  <c r="C35" i="64"/>
  <c r="B5" i="64"/>
  <c r="D25" i="65"/>
  <c r="E5" i="82"/>
  <c r="C31" i="64"/>
  <c r="D33" i="64"/>
  <c r="D156" i="65"/>
  <c r="C5" i="64"/>
  <c r="I9" i="91" s="1"/>
  <c r="E4" i="82"/>
  <c r="I21" i="93"/>
  <c r="B6" i="64"/>
  <c r="E4" i="78"/>
  <c r="I12" i="93"/>
  <c r="B31" i="64"/>
  <c r="H21" i="93"/>
  <c r="C6" i="64"/>
  <c r="I10" i="91" s="1"/>
  <c r="D32" i="64"/>
  <c r="D24" i="64"/>
  <c r="C53" i="64"/>
  <c r="E4" i="88"/>
  <c r="C27" i="64"/>
  <c r="E4" i="81"/>
  <c r="D45" i="64"/>
  <c r="D54" i="64"/>
  <c r="B53" i="64"/>
  <c r="P57" i="64"/>
  <c r="T57" i="64"/>
  <c r="D28" i="64"/>
  <c r="B22" i="64"/>
  <c r="D23" i="64"/>
  <c r="B18" i="64"/>
  <c r="D19" i="64"/>
  <c r="D35" i="64"/>
  <c r="D91" i="65"/>
  <c r="D65" i="65"/>
  <c r="C22" i="64"/>
  <c r="C18" i="64"/>
  <c r="B57" i="64" l="1"/>
  <c r="D31" i="64"/>
  <c r="C57" i="64"/>
  <c r="D6" i="64"/>
  <c r="D5" i="64"/>
  <c r="D53" i="64"/>
  <c r="D27" i="64"/>
  <c r="D18" i="64"/>
  <c r="D22" i="64"/>
  <c r="I40" i="91" l="1"/>
  <c r="I109" i="93"/>
  <c r="H4" i="67"/>
  <c r="D57" i="64"/>
  <c r="O4" i="64" l="1"/>
  <c r="N4" i="64"/>
  <c r="N71" i="64" s="1"/>
  <c r="K4" i="64"/>
  <c r="J4" i="64"/>
  <c r="C4" i="64"/>
  <c r="B4" i="64"/>
  <c r="I33" i="93" l="1"/>
  <c r="I15" i="91"/>
  <c r="O71" i="64"/>
  <c r="I36" i="93"/>
  <c r="I18" i="91"/>
  <c r="C67" i="64"/>
  <c r="I8" i="93"/>
  <c r="I8" i="91"/>
  <c r="D4" i="64"/>
  <c r="B67" i="64"/>
  <c r="L4" i="64"/>
  <c r="P4" i="64"/>
  <c r="T4" i="64"/>
  <c r="E7" i="78"/>
  <c r="H19" i="64"/>
  <c r="D94" i="93"/>
  <c r="D34" i="93"/>
  <c r="D35" i="93" s="1"/>
  <c r="D74" i="93"/>
  <c r="D75" i="93" s="1"/>
  <c r="D76" i="93" s="1"/>
  <c r="D99" i="93"/>
  <c r="D100" i="93" s="1"/>
  <c r="D102" i="93" s="1"/>
  <c r="D9" i="93"/>
  <c r="D10" i="93" s="1"/>
  <c r="F94" i="93"/>
  <c r="F34" i="93"/>
  <c r="F35" i="93" s="1"/>
  <c r="F74" i="93"/>
  <c r="F75" i="93" s="1"/>
  <c r="F76" i="93" s="1"/>
  <c r="F77" i="93" s="1"/>
  <c r="F78" i="93" s="1"/>
  <c r="F99" i="93"/>
  <c r="F100" i="93" s="1"/>
  <c r="F102" i="93" s="1"/>
  <c r="F9" i="93"/>
  <c r="F10" i="93" s="1"/>
  <c r="F13" i="93" s="1"/>
  <c r="F21" i="93" s="1"/>
  <c r="D37" i="93"/>
  <c r="D78" i="93"/>
  <c r="D113" i="93"/>
  <c r="D114" i="93" s="1"/>
  <c r="D116" i="93" s="1"/>
  <c r="F37" i="93"/>
  <c r="F113" i="93"/>
  <c r="F114" i="93" s="1"/>
  <c r="F116" i="93" s="1"/>
  <c r="F88" i="93"/>
  <c r="F81" i="93" l="1"/>
  <c r="F82" i="93" s="1"/>
  <c r="F84" i="93" s="1"/>
  <c r="F85" i="93" s="1"/>
  <c r="F86" i="93" s="1"/>
  <c r="D81" i="93"/>
  <c r="D82" i="93" s="1"/>
  <c r="D85" i="93" s="1"/>
  <c r="F22" i="93"/>
  <c r="F23" i="93" s="1"/>
  <c r="F24" i="93" s="1"/>
  <c r="F25" i="93" s="1"/>
  <c r="F26" i="93" s="1"/>
  <c r="F27" i="93" s="1"/>
  <c r="D43" i="93"/>
  <c r="D44" i="93" s="1"/>
  <c r="D38" i="93"/>
  <c r="F43" i="93"/>
  <c r="F44" i="93" s="1"/>
  <c r="F38" i="93"/>
  <c r="D88" i="93"/>
  <c r="D21" i="93"/>
  <c r="D91" i="93"/>
  <c r="F91" i="93"/>
  <c r="D45" i="93" l="1"/>
  <c r="F45" i="93"/>
  <c r="D22" i="93"/>
  <c r="D23" i="93" s="1"/>
  <c r="D24" i="93" s="1"/>
  <c r="D25" i="93" s="1"/>
  <c r="D26" i="93" s="1"/>
  <c r="D27" i="93" s="1"/>
</calcChain>
</file>

<file path=xl/comments1.xml><?xml version="1.0" encoding="utf-8"?>
<comments xmlns="http://schemas.openxmlformats.org/spreadsheetml/2006/main">
  <authors>
    <author>Windows User</author>
  </authors>
  <commentList>
    <comment ref="N5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Includes Audiology
</t>
        </r>
      </text>
    </comment>
  </commentList>
</comments>
</file>

<file path=xl/sharedStrings.xml><?xml version="1.0" encoding="utf-8"?>
<sst xmlns="http://schemas.openxmlformats.org/spreadsheetml/2006/main" count="5732" uniqueCount="1372">
  <si>
    <t>Pillar</t>
  </si>
  <si>
    <t>Strong Financial Performance</t>
  </si>
  <si>
    <t>Service</t>
  </si>
  <si>
    <t>People</t>
  </si>
  <si>
    <t>Finance</t>
  </si>
  <si>
    <t>HS Strategy</t>
  </si>
  <si>
    <t>Increase Health System surgical volume</t>
  </si>
  <si>
    <t>Quality &amp; Safety</t>
  </si>
  <si>
    <t>Improve Inpatient Experience</t>
  </si>
  <si>
    <t>Improve Outpatient Experience</t>
  </si>
  <si>
    <t xml:space="preserve">Growth </t>
  </si>
  <si>
    <t>Increase ambulatory access and throughput</t>
  </si>
  <si>
    <t xml:space="preserve">MISSION:Excellence </t>
  </si>
  <si>
    <t xml:space="preserve">Increase inpatient access and throughput </t>
  </si>
  <si>
    <t>CGCAHPS</t>
  </si>
  <si>
    <t>Increase total Provider productivity</t>
  </si>
  <si>
    <t>Improve Faculty and Staff engagement and satisfaction</t>
  </si>
  <si>
    <t>Clinic Visits</t>
  </si>
  <si>
    <t>N/A</t>
  </si>
  <si>
    <t>Surgeries</t>
  </si>
  <si>
    <t>WRVU's</t>
  </si>
  <si>
    <t>Mortality Index</t>
  </si>
  <si>
    <t>Readmission rate</t>
  </si>
  <si>
    <t xml:space="preserve">HCAHPS </t>
  </si>
  <si>
    <t>Increase CMI by 2%</t>
  </si>
  <si>
    <t>CMI</t>
  </si>
  <si>
    <t>Improve Inpatient Quality and Safety</t>
  </si>
  <si>
    <t>Academic</t>
  </si>
  <si>
    <t>Metric</t>
  </si>
  <si>
    <t>KPI</t>
  </si>
  <si>
    <t>Health System</t>
  </si>
  <si>
    <t xml:space="preserve">   UNMH</t>
  </si>
  <si>
    <t xml:space="preserve">   SRMC</t>
  </si>
  <si>
    <t xml:space="preserve">   UNMMG</t>
  </si>
  <si>
    <t>Entity</t>
  </si>
  <si>
    <t>Department</t>
  </si>
  <si>
    <t>% change to Projected</t>
  </si>
  <si>
    <t>wRVU's</t>
  </si>
  <si>
    <t xml:space="preserve">   Neurosurgery</t>
  </si>
  <si>
    <t xml:space="preserve">   Orthopaedics</t>
  </si>
  <si>
    <t xml:space="preserve">   Pediatrics</t>
  </si>
  <si>
    <t>Total Department</t>
  </si>
  <si>
    <t>Check</t>
  </si>
  <si>
    <t>Anesthesiology</t>
  </si>
  <si>
    <t>Dental</t>
  </si>
  <si>
    <t>Dermatology</t>
  </si>
  <si>
    <t>Emergency</t>
  </si>
  <si>
    <t>Family &amp; Community</t>
  </si>
  <si>
    <t>Internal Medicine</t>
  </si>
  <si>
    <t>Neurology</t>
  </si>
  <si>
    <t>Neurosurgery</t>
  </si>
  <si>
    <t>OB_GYN</t>
  </si>
  <si>
    <t>Orthopaedics</t>
  </si>
  <si>
    <t>Pathology</t>
  </si>
  <si>
    <t>Pediatrics</t>
  </si>
  <si>
    <t>Psychiatry</t>
  </si>
  <si>
    <t>Radiology</t>
  </si>
  <si>
    <t>Surgery</t>
  </si>
  <si>
    <t>Cancer Center</t>
  </si>
  <si>
    <t>Non-Department</t>
  </si>
  <si>
    <t>Womens Imaging Outreach</t>
  </si>
  <si>
    <t>Lactation Education Svcs</t>
  </si>
  <si>
    <t>CPC Mid-level</t>
  </si>
  <si>
    <t>UPC Mid-level</t>
  </si>
  <si>
    <t>UPC Injections</t>
  </si>
  <si>
    <t>Clinic</t>
  </si>
  <si>
    <t>Dermatology Clinics</t>
  </si>
  <si>
    <t>North Valley</t>
  </si>
  <si>
    <t xml:space="preserve">Atrisco Heritage </t>
  </si>
  <si>
    <t xml:space="preserve">Family Practice </t>
  </si>
  <si>
    <t>SE Heights Clinic - Texas</t>
  </si>
  <si>
    <t>NE Heights</t>
  </si>
  <si>
    <t>Westside Family Health</t>
  </si>
  <si>
    <t>1209 Clinic</t>
  </si>
  <si>
    <t xml:space="preserve">Dermatology  </t>
  </si>
  <si>
    <t>Family and Community</t>
  </si>
  <si>
    <t xml:space="preserve">  UNMH</t>
  </si>
  <si>
    <t>Total</t>
  </si>
  <si>
    <t xml:space="preserve">   Nephrology</t>
  </si>
  <si>
    <t xml:space="preserve">   Post Transplant</t>
  </si>
  <si>
    <t xml:space="preserve">   Medicine</t>
  </si>
  <si>
    <t xml:space="preserve">   Palliative Care Clinic</t>
  </si>
  <si>
    <t xml:space="preserve">   DOIM-Outpatient Treatment Ctr</t>
  </si>
  <si>
    <t xml:space="preserve">   DOIM-Non Proc. Sub-Specialties</t>
  </si>
  <si>
    <t xml:space="preserve">   OPAT Clinic</t>
  </si>
  <si>
    <t xml:space="preserve">   Digestive Disease Center</t>
  </si>
  <si>
    <t xml:space="preserve">   Digest Disease Health Center</t>
  </si>
  <si>
    <t xml:space="preserve">   Digestive Disease Procedures</t>
  </si>
  <si>
    <t xml:space="preserve">   Endoscopy Center</t>
  </si>
  <si>
    <t xml:space="preserve">   Sleep Disorders Center-1101-2</t>
  </si>
  <si>
    <t xml:space="preserve">   Diabetes Comprehensv Care Ctr</t>
  </si>
  <si>
    <t xml:space="preserve">   Cystic Fibrosis Clinic</t>
  </si>
  <si>
    <t xml:space="preserve">   Cardiology</t>
  </si>
  <si>
    <t xml:space="preserve">   Pulmonary Hypertension</t>
  </si>
  <si>
    <t xml:space="preserve">   Anticoagulation Services</t>
  </si>
  <si>
    <t xml:space="preserve">   Westside Allergy</t>
  </si>
  <si>
    <t xml:space="preserve">   Hospice Care</t>
  </si>
  <si>
    <t xml:space="preserve">   Home Health Care</t>
  </si>
  <si>
    <t xml:space="preserve">      UNMH</t>
  </si>
  <si>
    <t xml:space="preserve">   Nephrology Clinic</t>
  </si>
  <si>
    <t xml:space="preserve">   Cardiology Clinic</t>
  </si>
  <si>
    <t xml:space="preserve">   Rheumatology</t>
  </si>
  <si>
    <t xml:space="preserve">   Medicine Clinic</t>
  </si>
  <si>
    <t xml:space="preserve">   Infusion Center</t>
  </si>
  <si>
    <t xml:space="preserve">   Gastroenterology</t>
  </si>
  <si>
    <t xml:space="preserve">      SRMC</t>
  </si>
  <si>
    <t xml:space="preserve">   Clincal Neuroscience Center</t>
  </si>
  <si>
    <t xml:space="preserve">   Pain</t>
  </si>
  <si>
    <t xml:space="preserve">  SRMC</t>
  </si>
  <si>
    <t xml:space="preserve">   Women's Services Clinics</t>
  </si>
  <si>
    <t xml:space="preserve">   M &amp; FP Clinics</t>
  </si>
  <si>
    <t xml:space="preserve">   Milagro OP OB </t>
  </si>
  <si>
    <t xml:space="preserve">   Ambulatory Gynecology</t>
  </si>
  <si>
    <t xml:space="preserve">   Surgical Clinic-Uro/Gyn</t>
  </si>
  <si>
    <t xml:space="preserve">   OSIS Sports Medicine</t>
  </si>
  <si>
    <t xml:space="preserve">   CHILE-Lower Extremity Healing</t>
  </si>
  <si>
    <t xml:space="preserve">   Orthopaedics Faculty</t>
  </si>
  <si>
    <t xml:space="preserve">   Sports Medicine</t>
  </si>
  <si>
    <t xml:space="preserve">   Newborn</t>
  </si>
  <si>
    <t xml:space="preserve">   Pediatric Sedation Clinic</t>
  </si>
  <si>
    <t xml:space="preserve">   Childrens Hosp Heart Cntr</t>
  </si>
  <si>
    <t xml:space="preserve">   Pediatrics - Eubank Clinic</t>
  </si>
  <si>
    <t>YCHC General</t>
  </si>
  <si>
    <t>CTH Outpatient Clinics</t>
  </si>
  <si>
    <t>Total Non-Department</t>
  </si>
  <si>
    <t xml:space="preserve">   Psychiatric Emergency Services</t>
  </si>
  <si>
    <t xml:space="preserve">   CPC Programs for Children</t>
  </si>
  <si>
    <t xml:space="preserve">   CPC Cimarron</t>
  </si>
  <si>
    <t xml:space="preserve">   ASAP O/P - Medical Svcs</t>
  </si>
  <si>
    <t xml:space="preserve">   ASAP Teen Addiction/Recovery</t>
  </si>
  <si>
    <t xml:space="preserve">   ASAP- Primary Care Clinic</t>
  </si>
  <si>
    <t xml:space="preserve">   UPC Urgent Care Clinic</t>
  </si>
  <si>
    <t xml:space="preserve">   UPC Continuing Care Clinic</t>
  </si>
  <si>
    <t xml:space="preserve">   COPE Clinic</t>
  </si>
  <si>
    <t xml:space="preserve">   UPC ICOPE Clinic-Primary Care</t>
  </si>
  <si>
    <t xml:space="preserve">   UPC General Specialty Clinics</t>
  </si>
  <si>
    <t xml:space="preserve">   UPC Psychotherapy Clinci</t>
  </si>
  <si>
    <t xml:space="preserve">   ENT Surgical Specialty </t>
  </si>
  <si>
    <t xml:space="preserve">   Surgical Specialties</t>
  </si>
  <si>
    <t xml:space="preserve">   Vascular Surgery </t>
  </si>
  <si>
    <t xml:space="preserve">   General Surgery</t>
  </si>
  <si>
    <t xml:space="preserve">   NEH - ENT Allergy</t>
  </si>
  <si>
    <t xml:space="preserve">   ENT  </t>
  </si>
  <si>
    <t xml:space="preserve">   Urology</t>
  </si>
  <si>
    <t xml:space="preserve">   Ophthalmology On Site </t>
  </si>
  <si>
    <t xml:space="preserve">   Ophthalmology Off Site </t>
  </si>
  <si>
    <t xml:space="preserve">   ENT Surgical Specialty Clinic</t>
  </si>
  <si>
    <t xml:space="preserve">   General Surgery Clinic</t>
  </si>
  <si>
    <t xml:space="preserve">   Surgical Clinic-Urology</t>
  </si>
  <si>
    <t xml:space="preserve">   CRTC (Radiology Oncology)</t>
  </si>
  <si>
    <t xml:space="preserve">   UNMMO (Medical Oncology)</t>
  </si>
  <si>
    <t xml:space="preserve">   UNMMO (Ortho Oncology)</t>
  </si>
  <si>
    <t xml:space="preserve">   UNMMO (Surgical Oncology)</t>
  </si>
  <si>
    <t xml:space="preserve">   UNMMO (Gyn Oncology)</t>
  </si>
  <si>
    <t>Growth Metrics</t>
  </si>
  <si>
    <t>Quality &amp; Safety Metrics</t>
  </si>
  <si>
    <t>SPHEs</t>
  </si>
  <si>
    <t>Readmission Rate</t>
  </si>
  <si>
    <t>FY19    Target</t>
  </si>
  <si>
    <t>HAIs*</t>
  </si>
  <si>
    <t>*For FY19 includes CDIFF</t>
  </si>
  <si>
    <t>FY18   YTD</t>
  </si>
  <si>
    <t>Excellent CLER Outcomes</t>
  </si>
  <si>
    <t>Excellent GQ Outcomes</t>
  </si>
  <si>
    <t xml:space="preserve">   UNM LoboCare </t>
  </si>
  <si>
    <t xml:space="preserve">   Soutwest Mesa</t>
  </si>
  <si>
    <t>partial peds; need to determine break out</t>
  </si>
  <si>
    <t>Dental (MG)</t>
  </si>
  <si>
    <t>Dermatology (UH)</t>
  </si>
  <si>
    <t>Neurology (UH)</t>
  </si>
  <si>
    <t>Cancer Center (UH)</t>
  </si>
  <si>
    <t>Left without being seen (LWBS) + Against medical advice (AMA) at UNMH</t>
  </si>
  <si>
    <t>UNMH Misc Procedures</t>
  </si>
  <si>
    <t>SRMC Community Docs</t>
  </si>
  <si>
    <t>SOM Other</t>
  </si>
  <si>
    <t>SRMC Midlevels</t>
  </si>
  <si>
    <t>HCAHPS</t>
  </si>
  <si>
    <t xml:space="preserve">%tile change </t>
  </si>
  <si>
    <t>Service Metrics- %tile</t>
  </si>
  <si>
    <t>Vizient HAI's does not include Peds - Entity is Vizient only</t>
  </si>
  <si>
    <t>Vizient SPHE's = PSI 3,6,9,11, 13 - Entity is Vizient only</t>
  </si>
  <si>
    <t>Ctr For Life</t>
  </si>
  <si>
    <t>Truman</t>
  </si>
  <si>
    <t xml:space="preserve">      UNMMG</t>
  </si>
  <si>
    <t>UNM Medical Group Provider wRVU's</t>
  </si>
  <si>
    <t>FY 2015</t>
  </si>
  <si>
    <t>FY 2016</t>
  </si>
  <si>
    <t>FY 2017</t>
  </si>
  <si>
    <t>FY 2018</t>
  </si>
  <si>
    <t>FY 2019</t>
  </si>
  <si>
    <t xml:space="preserve">% </t>
  </si>
  <si>
    <t>Department Name</t>
  </si>
  <si>
    <t>Service Line</t>
  </si>
  <si>
    <t>Actual</t>
  </si>
  <si>
    <t>Change</t>
  </si>
  <si>
    <t>SOM</t>
  </si>
  <si>
    <t xml:space="preserve">   Surgical</t>
  </si>
  <si>
    <t xml:space="preserve">   Adult and Primary Care</t>
  </si>
  <si>
    <t>Emergency Medicine</t>
  </si>
  <si>
    <t>Family and Community Medicine</t>
  </si>
  <si>
    <t>Allergy/Immunology</t>
  </si>
  <si>
    <t>Cardiology: Electrophysiology</t>
  </si>
  <si>
    <t>Cardiology: Invasive</t>
  </si>
  <si>
    <t>Cardiology: Invasive Interventional</t>
  </si>
  <si>
    <t>Cardiology: Midlevel Providers</t>
  </si>
  <si>
    <t>Cardiology: Nmhi Electrophysiology</t>
  </si>
  <si>
    <t>Cardiology: Non-Invasive</t>
  </si>
  <si>
    <t>Critical Care Medicine-Med</t>
  </si>
  <si>
    <t>Elective General Surgery</t>
  </si>
  <si>
    <t>Endocrinology &amp; Metabolism</t>
  </si>
  <si>
    <t>Family Practice</t>
  </si>
  <si>
    <t>Gastroenterology</t>
  </si>
  <si>
    <t>General Surgery</t>
  </si>
  <si>
    <t>Geriatric Medicine-Med</t>
  </si>
  <si>
    <t>Hematology</t>
  </si>
  <si>
    <t>Hospital Medicine</t>
  </si>
  <si>
    <t>Infectious Disease</t>
  </si>
  <si>
    <t>Internal Medicine (General)</t>
  </si>
  <si>
    <t>Nephrology</t>
  </si>
  <si>
    <t>Occupational Medicine</t>
  </si>
  <si>
    <t>Palliative Care</t>
  </si>
  <si>
    <t>Pulmonary Disease</t>
  </si>
  <si>
    <t>Rheumatology</t>
  </si>
  <si>
    <t>Surgery, Colon &amp; Rectal</t>
  </si>
  <si>
    <t>Surgery, Oncology</t>
  </si>
  <si>
    <t>Unknown/Misc</t>
  </si>
  <si>
    <t>Internal Medicine Total</t>
  </si>
  <si>
    <t>OB GYN</t>
  </si>
  <si>
    <t xml:space="preserve">   Women and Children</t>
  </si>
  <si>
    <t>Pediatric ortho</t>
  </si>
  <si>
    <t>Ortho less pediatrics</t>
  </si>
  <si>
    <t>Orthopaedics Total</t>
  </si>
  <si>
    <t xml:space="preserve">   Hospital Based</t>
  </si>
  <si>
    <t>Adolescent Medicine</t>
  </si>
  <si>
    <t>Center For Development And Disability</t>
  </si>
  <si>
    <t>Child &amp; Adolescent Psychiatry</t>
  </si>
  <si>
    <t>Genetics/Dysmorphology</t>
  </si>
  <si>
    <t>Neonatal-Perinatal Medicine</t>
  </si>
  <si>
    <t>Pediatric Allergy &amp; Immunology</t>
  </si>
  <si>
    <t>Pediatric Cardiology</t>
  </si>
  <si>
    <t>Pediatric Critical Care Hospitalists</t>
  </si>
  <si>
    <t>Pediatric Critical Care Intensivists</t>
  </si>
  <si>
    <t>Pediatric Endocrinology &amp; Metabolism</t>
  </si>
  <si>
    <t>Pediatric Gastroenterology</t>
  </si>
  <si>
    <t>Pediatric Hematology/Oncology</t>
  </si>
  <si>
    <t>Pediatric Infectious Disease</t>
  </si>
  <si>
    <t>Pediatric Nephrology</t>
  </si>
  <si>
    <t>Pediatric Orthopaedics</t>
  </si>
  <si>
    <t>Pediatric Pulmonology</t>
  </si>
  <si>
    <t>Pediatrics (General)</t>
  </si>
  <si>
    <t>Psychology</t>
  </si>
  <si>
    <t>Rehabilitation-Peds</t>
  </si>
  <si>
    <t>Pediatrics Total</t>
  </si>
  <si>
    <t xml:space="preserve">   Behavioral Health</t>
  </si>
  <si>
    <t>Acute Care Surgery</t>
  </si>
  <si>
    <t>Critical Care Intensivist</t>
  </si>
  <si>
    <t>Dental Services</t>
  </si>
  <si>
    <t>Neuro Ophth</t>
  </si>
  <si>
    <t>Ophth, Oculoplastic &amp; Recon Surg</t>
  </si>
  <si>
    <t>Ophthalmology</t>
  </si>
  <si>
    <t>Ophthalmology Retinal</t>
  </si>
  <si>
    <t>Otolaryngology</t>
  </si>
  <si>
    <t>Pediatric Ophthalmology</t>
  </si>
  <si>
    <t>Pediatric Otorhinolaryngology</t>
  </si>
  <si>
    <t>Pediatric Surgery</t>
  </si>
  <si>
    <t>Plastic Surgery</t>
  </si>
  <si>
    <t>Surgery, Cardiac</t>
  </si>
  <si>
    <t>Thoracic Surgery</t>
  </si>
  <si>
    <t>Urology</t>
  </si>
  <si>
    <t>Vascular Surgery</t>
  </si>
  <si>
    <t>Surgery Total</t>
  </si>
  <si>
    <t>SOM Total</t>
  </si>
  <si>
    <t>UNM Cancer Center Total</t>
  </si>
  <si>
    <t xml:space="preserve">   Cancer</t>
  </si>
  <si>
    <t>SRMC</t>
  </si>
  <si>
    <t>Cardiology</t>
  </si>
  <si>
    <t>Endocrinology</t>
  </si>
  <si>
    <t>Hospitalist</t>
  </si>
  <si>
    <t>Surgery: General</t>
  </si>
  <si>
    <t>Surgery: Plastic</t>
  </si>
  <si>
    <t>Vascular</t>
  </si>
  <si>
    <t>SRMC Total</t>
  </si>
  <si>
    <t>UNMMG Total Provider wRVU's</t>
  </si>
  <si>
    <t>Service Line Totals</t>
  </si>
  <si>
    <t>Achieve Vizient 50th %tile for SPHEs</t>
  </si>
  <si>
    <t>Achieve Vizient 50th %tile for HAIs</t>
  </si>
  <si>
    <t>HAIs</t>
  </si>
  <si>
    <t>Operating Revenue</t>
  </si>
  <si>
    <t>Operating Expense</t>
  </si>
  <si>
    <t>Finance Metrics (in thousands)</t>
  </si>
  <si>
    <t>Non-Op Rev/(Exp)</t>
  </si>
  <si>
    <t>Net Margin $</t>
  </si>
  <si>
    <t>Net Margin as % of Op Rev</t>
  </si>
  <si>
    <t>Net Margin as a % of Op Rev</t>
  </si>
  <si>
    <t>Decrease FY19 Budgeted Operating Expense by $7.5M</t>
  </si>
  <si>
    <t>Increase FY19 Budgeted Operating Revenue by $24M</t>
  </si>
  <si>
    <t>Growth</t>
  </si>
  <si>
    <t>Mission:Excellence Compliance</t>
  </si>
  <si>
    <t>People Metrics</t>
  </si>
  <si>
    <t xml:space="preserve">change </t>
  </si>
  <si>
    <t xml:space="preserve">Health System Net Margin &gt;2%                                                  </t>
  </si>
  <si>
    <t>Active</t>
  </si>
  <si>
    <t>Terms</t>
  </si>
  <si>
    <t>%</t>
  </si>
  <si>
    <t>Staff Satisfaction</t>
  </si>
  <si>
    <t>2017 Full</t>
  </si>
  <si>
    <t>Provider Engagement</t>
  </si>
  <si>
    <t>5th %tile</t>
  </si>
  <si>
    <t>25th %tile</t>
  </si>
  <si>
    <t>20 %tile</t>
  </si>
  <si>
    <t>29th %tile</t>
  </si>
  <si>
    <t>34th %tile</t>
  </si>
  <si>
    <t>5 %tile</t>
  </si>
  <si>
    <t>CMI (Clinical)</t>
  </si>
  <si>
    <t>HS Strategy #</t>
  </si>
  <si>
    <t>FY 19 Goal</t>
  </si>
  <si>
    <t>Metric/Target</t>
  </si>
  <si>
    <t>Increase inpatient access and throughput</t>
  </si>
  <si>
    <t>Reduce severe patient harm events (SPHEs)</t>
  </si>
  <si>
    <t>PSI 6 - Iatro Pneumothorax</t>
  </si>
  <si>
    <t>SSI - Colon resections</t>
  </si>
  <si>
    <t xml:space="preserve">SSI - Hysterectomy </t>
  </si>
  <si>
    <t>Ambulatory Surgery - PG survey percentile</t>
  </si>
  <si>
    <t>MISSION: Excellence</t>
  </si>
  <si>
    <t>Strong financial performance</t>
  </si>
  <si>
    <t xml:space="preserve">Perform to Net Margin Budget </t>
  </si>
  <si>
    <t>ASC dental cases</t>
  </si>
  <si>
    <t>Med Reconciliation</t>
  </si>
  <si>
    <t>Handwashing</t>
  </si>
  <si>
    <t>Follow-up on malignancy after biopsy</t>
  </si>
  <si>
    <t>Improve Mortality Index</t>
  </si>
  <si>
    <t>Reduce Readmissions</t>
  </si>
  <si>
    <t>Improve inpatient experience</t>
  </si>
  <si>
    <t>Improve outpatient experience</t>
  </si>
  <si>
    <t>Adult discharges</t>
  </si>
  <si>
    <t xml:space="preserve">Mortality index </t>
  </si>
  <si>
    <t>Reduce Hospital Acquired Infections (HAIs)</t>
  </si>
  <si>
    <t>Vizient CLABSI</t>
  </si>
  <si>
    <t xml:space="preserve">Vizient CAUTI </t>
  </si>
  <si>
    <t>Vizient C-diff</t>
  </si>
  <si>
    <t>Reduce Readmission</t>
  </si>
  <si>
    <t>Rate the hospital stay for HCAHPS</t>
  </si>
  <si>
    <t>GI</t>
  </si>
  <si>
    <t>Increase Total Provider Productivity</t>
  </si>
  <si>
    <t xml:space="preserve">Vizient CLABSI </t>
  </si>
  <si>
    <t>Reduce Severe Patient Harm Events (SPHEs)</t>
  </si>
  <si>
    <t xml:space="preserve">PSI 11 - Post-op respiratory failure </t>
  </si>
  <si>
    <t>PSI 12 - Post-op pulmonary embolism</t>
  </si>
  <si>
    <t xml:space="preserve">Reduce readmission - UNMH </t>
  </si>
  <si>
    <t>Strong financial Performance</t>
  </si>
  <si>
    <t>Quality and Safety</t>
  </si>
  <si>
    <t>Improve mortality index</t>
  </si>
  <si>
    <t>PSI 6 (Iatro Pneuomothorax)</t>
  </si>
  <si>
    <t xml:space="preserve">PSI 9 (Post-op Hemorrhage) </t>
  </si>
  <si>
    <t xml:space="preserve">PS 11 (Post-op Respiratory Failure) </t>
  </si>
  <si>
    <t>PSI 12 (Post-op Pulmonary Embolism)</t>
  </si>
  <si>
    <t>PSI 13 (Post-op Sepsis)</t>
  </si>
  <si>
    <t>Reduce readmission</t>
  </si>
  <si>
    <t>Primary cesarean delivery uncomplicated</t>
  </si>
  <si>
    <t>&lt;=15%</t>
  </si>
  <si>
    <t>Improve Staff and Faculty engagement and satisfaction</t>
  </si>
  <si>
    <t>Hospital Acquired Infections (HAIs)</t>
  </si>
  <si>
    <t>CLABSI</t>
  </si>
  <si>
    <t>CAUTI</t>
  </si>
  <si>
    <t>C-diff</t>
  </si>
  <si>
    <t>Improve Inpatient experience</t>
  </si>
  <si>
    <t>UNMH PG top box</t>
  </si>
  <si>
    <t xml:space="preserve">Patient days </t>
  </si>
  <si>
    <t xml:space="preserve">Reduce severe patient harm events </t>
  </si>
  <si>
    <t>HBIPs-5</t>
  </si>
  <si>
    <t>Sentinel events</t>
  </si>
  <si>
    <t>Increase total Provider Productivity</t>
  </si>
  <si>
    <t>Reduce hospital acquired conditions</t>
  </si>
  <si>
    <t xml:space="preserve">Reduce severe patient harm events (SPHEs) </t>
  </si>
  <si>
    <t>PSI 6 - Iatrogenic Pneumothorax</t>
  </si>
  <si>
    <t>PSI 9 - Post-op hemorrhage</t>
  </si>
  <si>
    <t>PSI 11 - Post-op respiratory failure</t>
  </si>
  <si>
    <t>PSI 13 - Post-op sepsis</t>
  </si>
  <si>
    <t>Monthly new patient volume</t>
  </si>
  <si>
    <t>Monthly total (new and f/up) patient volume</t>
  </si>
  <si>
    <t>Achieve Budgeted Clinic Visits</t>
  </si>
  <si>
    <t>Achieve Budgeted wRVUs</t>
  </si>
  <si>
    <t xml:space="preserve">   UNMH - PG Mean Score</t>
  </si>
  <si>
    <t>Achieve budgeted surgical cases at UNMH</t>
  </si>
  <si>
    <t>Dental - PG Mean Score</t>
  </si>
  <si>
    <t>Achieve budgeted  wRVUs - UNMH</t>
  </si>
  <si>
    <t>Achieve budgeted wRVUs - SRMC</t>
  </si>
  <si>
    <t xml:space="preserve">   UNMH - PG Trauma 1 Mean</t>
  </si>
  <si>
    <t>Achieve budgeted clinic visits at UNMH</t>
  </si>
  <si>
    <t>Achieve budgetd clinic visits at SRMC</t>
  </si>
  <si>
    <t>Achieve budgeted visits at UNMMG</t>
  </si>
  <si>
    <t xml:space="preserve">   UNMH - IP PG</t>
  </si>
  <si>
    <t>Achieve budgeted adult discharges</t>
  </si>
  <si>
    <t>Achieve budgeted outpatient clinic visits - adults</t>
  </si>
  <si>
    <t>Achieve budgeted outpatient clinic visits - pediatrics</t>
  </si>
  <si>
    <t xml:space="preserve">   UNMH - PG Top Box</t>
  </si>
  <si>
    <t xml:space="preserve">Achieve budgeted  wRVUs </t>
  </si>
  <si>
    <t>Press Ganey Doctors Concerns for questions and worries</t>
  </si>
  <si>
    <t>Cancer Center - PG Dr. Concern</t>
  </si>
  <si>
    <t>Department only for UNMH</t>
  </si>
  <si>
    <t>Cerner Service  Name</t>
  </si>
  <si>
    <t>QC &amp; CHAIRS Scorecard Roll Up</t>
  </si>
  <si>
    <t>Burn</t>
  </si>
  <si>
    <t>Burn and Trauma</t>
  </si>
  <si>
    <t>Cardiac Cath Inpatient</t>
  </si>
  <si>
    <t>Medicine</t>
  </si>
  <si>
    <t>Cardiothoracic Surgery</t>
  </si>
  <si>
    <t>Carrie Tingley Inpatient Rehab</t>
  </si>
  <si>
    <t>Orthopedics</t>
  </si>
  <si>
    <t>Certified Nurse Midwife</t>
  </si>
  <si>
    <t>OB/GYN</t>
  </si>
  <si>
    <t>CTH Orthopedics</t>
  </si>
  <si>
    <t>Ear, Nose and Throat</t>
  </si>
  <si>
    <t>Ear+Nose+Throat</t>
  </si>
  <si>
    <t>Emergency General Surgery</t>
  </si>
  <si>
    <t>FM Team A</t>
  </si>
  <si>
    <t>Family Medicine</t>
  </si>
  <si>
    <t>FM Team B</t>
  </si>
  <si>
    <t>FM Team C</t>
  </si>
  <si>
    <t>FP Maternal Child Health Service</t>
  </si>
  <si>
    <t>Gynecology</t>
  </si>
  <si>
    <t>Gynecology Oncology</t>
  </si>
  <si>
    <t>Hematology Oncology</t>
  </si>
  <si>
    <t>Oncology</t>
  </si>
  <si>
    <t>Maternal Fetal Medicine</t>
  </si>
  <si>
    <t>Medical Oncology</t>
  </si>
  <si>
    <t>Medicine Blue</t>
  </si>
  <si>
    <t>Medicine Bronze</t>
  </si>
  <si>
    <t>Medicine Critical Care</t>
  </si>
  <si>
    <t>Medicine Gold</t>
  </si>
  <si>
    <t>Medicine Gray</t>
  </si>
  <si>
    <t>Medicine Green</t>
  </si>
  <si>
    <t>Medicine Orange</t>
  </si>
  <si>
    <t>Medicine Purple</t>
  </si>
  <si>
    <t>Medicine Red</t>
  </si>
  <si>
    <t>Medicine Silver</t>
  </si>
  <si>
    <t>Medicine White</t>
  </si>
  <si>
    <t>MICU NP</t>
  </si>
  <si>
    <t>Neonatology</t>
  </si>
  <si>
    <t>Neonatology Green</t>
  </si>
  <si>
    <t>Neonatology ICN4</t>
  </si>
  <si>
    <t>Neonatology Red</t>
  </si>
  <si>
    <t>Newborn</t>
  </si>
  <si>
    <t>Newborn FP</t>
  </si>
  <si>
    <t>Obstetrics</t>
  </si>
  <si>
    <t>PEDS Critical Care</t>
  </si>
  <si>
    <t>PEDS CTH Acute</t>
  </si>
  <si>
    <t>PEDS ENT</t>
  </si>
  <si>
    <t>PEDS Gastroenterology</t>
  </si>
  <si>
    <t>PEDS General</t>
  </si>
  <si>
    <t>PEDS Hematology Oncology</t>
  </si>
  <si>
    <t>PEDS Neurology</t>
  </si>
  <si>
    <t>PEDS Neurosurgery</t>
  </si>
  <si>
    <t>PEDS Surgery</t>
  </si>
  <si>
    <t>PEDS Team Gecko</t>
  </si>
  <si>
    <t>PEDS Team Lobo</t>
  </si>
  <si>
    <t>PEDS Team Roadrunner</t>
  </si>
  <si>
    <t>PEDS Team Toad</t>
  </si>
  <si>
    <t>PEDS Urology</t>
  </si>
  <si>
    <t>Surgical Critical Care</t>
  </si>
  <si>
    <t>Surgical Oncology</t>
  </si>
  <si>
    <t>Transplant Surgery</t>
  </si>
  <si>
    <t>Trauma</t>
  </si>
  <si>
    <t>Urogynecology</t>
  </si>
  <si>
    <t>53200 - Dental General</t>
  </si>
  <si>
    <t>53210 - CDS Residency Dental</t>
  </si>
  <si>
    <t>53212 - Dental Faculty Practice</t>
  </si>
  <si>
    <t>53214 - ASC Surgical Ctr</t>
  </si>
  <si>
    <t>53220 - Novitski Dental Hygiene</t>
  </si>
  <si>
    <t>53222 - Student Health Hygiene</t>
  </si>
  <si>
    <t>53240 - Carrie Tingley Dental</t>
  </si>
  <si>
    <t xml:space="preserve">   FP Maternal Child Health Services (UH)</t>
  </si>
  <si>
    <t xml:space="preserve">   UNMH - UPC</t>
  </si>
  <si>
    <t xml:space="preserve">   UNMH - CPC</t>
  </si>
  <si>
    <t>% change</t>
  </si>
  <si>
    <t>Psychiatry - UPC</t>
  </si>
  <si>
    <t>Psychiatry - CPC</t>
  </si>
  <si>
    <t>Cancer Center (Med &amp; Hem Onc)</t>
  </si>
  <si>
    <t>Increase CMI by 2% - UH F&amp;C</t>
  </si>
  <si>
    <t>Increase CMI by 2% - UH FP Maternal Child</t>
  </si>
  <si>
    <t xml:space="preserve">Reduce readmission - UH F&amp;C </t>
  </si>
  <si>
    <t xml:space="preserve">Reduce readmission - UH FP Maternal Child </t>
  </si>
  <si>
    <t xml:space="preserve">Reduce readmission </t>
  </si>
  <si>
    <t>Mortality index</t>
  </si>
  <si>
    <t>Readmission - UPC</t>
  </si>
  <si>
    <t>Readmission - CPC</t>
  </si>
  <si>
    <t>8th %tile</t>
  </si>
  <si>
    <t>17 %tile</t>
  </si>
  <si>
    <t>Spine</t>
  </si>
  <si>
    <t>School Based</t>
  </si>
  <si>
    <t>P_Num</t>
  </si>
  <si>
    <t>Leader</t>
  </si>
  <si>
    <t>HS</t>
  </si>
  <si>
    <t>Increase Ambulatory access and throughput</t>
  </si>
  <si>
    <t>UNMH</t>
  </si>
  <si>
    <t xml:space="preserve">Achieve Budgeted Clinic Visits </t>
  </si>
  <si>
    <t>UNMMG</t>
  </si>
  <si>
    <t>Increase Inpatient access and throughput</t>
  </si>
  <si>
    <t>Achieve Budgeted Surgeries</t>
  </si>
  <si>
    <t xml:space="preserve"> </t>
  </si>
  <si>
    <t>Strategy #</t>
  </si>
  <si>
    <t>Goal #</t>
  </si>
  <si>
    <t xml:space="preserve">Achieve Budgeted Adult Non-OB Discharges </t>
  </si>
  <si>
    <t xml:space="preserve">Achieve Budgeted wRVU's </t>
  </si>
  <si>
    <t>Meet budgeted SRMC wRVUs</t>
  </si>
  <si>
    <t>Improve Employee Satisfaction Scores</t>
  </si>
  <si>
    <t>Improve Provider Satisfaction Scores</t>
  </si>
  <si>
    <t>2017 Full; 2016 for SRMC</t>
  </si>
  <si>
    <t>Breast Cancer Screening</t>
  </si>
  <si>
    <t>Controlling Blood Pressure at 80%</t>
  </si>
  <si>
    <t>Achieve ambulatory quality and performance targets per federal and clinical contracts</t>
  </si>
  <si>
    <t xml:space="preserve">Achieve ambulatory quality and performance targets per federal and clinical contracts </t>
  </si>
  <si>
    <t>Staff Turnover Rates &lt;= 16%</t>
  </si>
  <si>
    <t>LEM</t>
  </si>
  <si>
    <t xml:space="preserve"> Recommend this Provider Office for CGCAHPS 27th%tile(5 %tile increase over FY18 (min 25th %tile; max 75th %tile)</t>
  </si>
  <si>
    <t>Unified Operating Plan</t>
  </si>
  <si>
    <t xml:space="preserve"> Rate the hospital stay for HCAHPS 41st %tile                      (5 %tile increase over FY18 (min 25th %tile; max 75th %tile)</t>
  </si>
  <si>
    <t>Antenatal cortiocosteroids</t>
  </si>
  <si>
    <t>ED Median time from arrival to departure for discharged patients(minutes)</t>
  </si>
  <si>
    <t>Median door to doc time at SRMC (minutes)</t>
  </si>
  <si>
    <t>Abx in one hour in sepsis bundle patients (percent)</t>
  </si>
  <si>
    <t>&gt;85%</t>
  </si>
  <si>
    <t xml:space="preserve">Decrease ad hoc order to schedule </t>
  </si>
  <si>
    <t>&lt;900 pending adhoc orders</t>
  </si>
  <si>
    <t>Reduce TAT for Inpatient cross-sectional studies</t>
  </si>
  <si>
    <t>70% under 4 hours</t>
  </si>
  <si>
    <t>Decreased # of patient falls</t>
  </si>
  <si>
    <t>Reduce numbers of patient falls in PSI system</t>
  </si>
  <si>
    <t>Audit for tracking communcation of critical results</t>
  </si>
  <si>
    <t>Compliance with follow-up recommendation in radiology reports</t>
  </si>
  <si>
    <t>Press Ganey patient satisfaction</t>
  </si>
  <si>
    <t xml:space="preserve">Achieve Vizient 40th %tile for Mortality Index </t>
  </si>
  <si>
    <t>Maintain better than the Vizient 50th %tile for Readmission Rate</t>
  </si>
  <si>
    <t>Mobiles (Main/BBRP)</t>
  </si>
  <si>
    <t>OSIS ECT</t>
  </si>
  <si>
    <t>Achieve budgeted volume (Techical units - excluding Infusion, AIC &amp; OP Pharmacy)</t>
  </si>
  <si>
    <t xml:space="preserve">   UNMH - PG OP Radiology</t>
  </si>
  <si>
    <t>CLABSIs for lines inserted in the OR</t>
  </si>
  <si>
    <t>Main ECT</t>
  </si>
  <si>
    <t>Achieve Budgeted Faculty Procedure rvu</t>
  </si>
  <si>
    <t xml:space="preserve">SSI Hysterectomy </t>
  </si>
  <si>
    <t>L&amp;D (Epidural)</t>
  </si>
  <si>
    <t>Hospital-onset C-diff: track repeat testing done within 7 days; determine frequency and patterns; develop plan for education/intervention</t>
  </si>
  <si>
    <t>Evaluate blood culture contamination rates by inpatient nursing unit (reduce CLABSIs). Determine interventions for rate reduction including improvement to labelling and documenting procedures.</t>
  </si>
  <si>
    <t>All Staff Turnover (target excludes PRN)</t>
  </si>
  <si>
    <t>RN Turnover (target excludes PRN)</t>
  </si>
  <si>
    <t>Achieve Budgeted Surgeries at UNMH</t>
  </si>
  <si>
    <t xml:space="preserve">PG survey mean score </t>
  </si>
  <si>
    <t>Baseline</t>
  </si>
  <si>
    <t>Family &amp; Community Medicine</t>
  </si>
  <si>
    <t>UPC</t>
  </si>
  <si>
    <t>CPC Totals</t>
  </si>
  <si>
    <t>UPC Totals</t>
  </si>
  <si>
    <t xml:space="preserve">   Women's Imaging Outreach</t>
  </si>
  <si>
    <t xml:space="preserve">   Lactation Education Svcs</t>
  </si>
  <si>
    <t xml:space="preserve">   Clincal-Mind Imaging Center</t>
  </si>
  <si>
    <t xml:space="preserve">   Patient Education-Diabetes</t>
  </si>
  <si>
    <t>Culture of Safety Survey</t>
  </si>
  <si>
    <t>UH Non-SOM Dept</t>
  </si>
  <si>
    <t>50% Peds/50% Ortho</t>
  </si>
  <si>
    <t>Fiscal Year 20</t>
  </si>
  <si>
    <t>FY 20 Goal</t>
  </si>
  <si>
    <t>Clinic Visits (Billed and Arrived Visits)</t>
  </si>
  <si>
    <t>Impactable Cancellations</t>
  </si>
  <si>
    <t>Visits per cFTE</t>
  </si>
  <si>
    <t>Referral Conversion</t>
  </si>
  <si>
    <t>RVUs</t>
  </si>
  <si>
    <t>Average LOS Difference</t>
  </si>
  <si>
    <t>Average Observation LOS(Hrs)</t>
  </si>
  <si>
    <t>% On service placement at admission</t>
  </si>
  <si>
    <t>% Initial discharge planning w/in 24 hrs</t>
  </si>
  <si>
    <t>% Est discharge date entered in 24 hrs</t>
  </si>
  <si>
    <t>Quality Review Scores (MDRs)</t>
  </si>
  <si>
    <t>First Case on Time Starts (FCOT)</t>
  </si>
  <si>
    <t>Scheduled Variance</t>
  </si>
  <si>
    <t>Operating Room Utilization</t>
  </si>
  <si>
    <t>Turnover (TOT)</t>
  </si>
  <si>
    <t>Collections/wRVU</t>
  </si>
  <si>
    <t>wRVU's/cFTE</t>
  </si>
  <si>
    <t>wRVU's vs. Benchmark</t>
  </si>
  <si>
    <t>Specialty Pharmacy</t>
  </si>
  <si>
    <t>Revenue Cycle:</t>
  </si>
  <si>
    <t>Cash Factor</t>
  </si>
  <si>
    <t>A/R Days</t>
  </si>
  <si>
    <t>Urgent Secure Rate</t>
  </si>
  <si>
    <t>Elective Secure Rate</t>
  </si>
  <si>
    <t>Billing WIP Days</t>
  </si>
  <si>
    <t>Follow-up WIP Days</t>
  </si>
  <si>
    <t>Clinical Documentation:</t>
  </si>
  <si>
    <t>Patient Review Rate</t>
  </si>
  <si>
    <t>Query Rate</t>
  </si>
  <si>
    <t>Provider Response Rate</t>
  </si>
  <si>
    <t>Provider Agreement Rate</t>
  </si>
  <si>
    <t>Financial Benefit</t>
  </si>
  <si>
    <t>Pharmacy Expense:</t>
  </si>
  <si>
    <t>Clinical Utilization/Guideline of Use Enhancements</t>
  </si>
  <si>
    <t>Formulary Management/Therapeutic Interchange</t>
  </si>
  <si>
    <t>Operational Efficiencies</t>
  </si>
  <si>
    <t>Supply Chain Management:</t>
  </si>
  <si>
    <t>Supply Expense/Adj Discharge</t>
  </si>
  <si>
    <t>Supply Expense/Adj Patient Day</t>
  </si>
  <si>
    <t>Price Comparison Index</t>
  </si>
  <si>
    <t>Workforce Management:</t>
  </si>
  <si>
    <t>Overtime FTE as % of Total Worked</t>
  </si>
  <si>
    <t>Total Labor Expense/CMI Adj Discharge</t>
  </si>
  <si>
    <t>Paid FTEs/AOB</t>
  </si>
  <si>
    <t>Productivity Index Opportunity vs. Performance Goals</t>
  </si>
  <si>
    <t>Premium Pay as % of Regular Pay</t>
  </si>
  <si>
    <t>Contract Labor Spend per $1k of Salary Expense</t>
  </si>
  <si>
    <t>Time to Fill</t>
  </si>
  <si>
    <t>FY20 Target</t>
  </si>
  <si>
    <t>FY 20 HS Goal</t>
  </si>
  <si>
    <t>FY19 Projected</t>
  </si>
  <si>
    <t>FY20 Budget</t>
  </si>
  <si>
    <t>FY19 Projection</t>
  </si>
  <si>
    <t xml:space="preserve">   Operating Room</t>
  </si>
  <si>
    <t xml:space="preserve">   Dermatology MOHS</t>
  </si>
  <si>
    <t xml:space="preserve">   Interventional Radiology</t>
  </si>
  <si>
    <t xml:space="preserve">Cancer Center </t>
  </si>
  <si>
    <t>Partial O/P, Procedures</t>
  </si>
  <si>
    <t>Procedures</t>
  </si>
  <si>
    <t xml:space="preserve">   Care Link Behav Health Home</t>
  </si>
  <si>
    <t>Total Discharges</t>
  </si>
  <si>
    <t>Staff Engagement</t>
  </si>
  <si>
    <t>MISSION: Excellence                                                                         Improve Inpatient Experience</t>
  </si>
  <si>
    <t xml:space="preserve">MISSION: Excellence                                                                         Improve Outpatient Experience </t>
  </si>
  <si>
    <t>MISSION: Excellence                                                                         Improve Team Engagement</t>
  </si>
  <si>
    <t>New Pt. Scheduling Lag</t>
  </si>
  <si>
    <t>Absence Expense as % of Regular Pay</t>
  </si>
  <si>
    <t>Health Plan Expense/Employees Enrolled in Health Plan</t>
  </si>
  <si>
    <t>Provider No-Response Rate</t>
  </si>
  <si>
    <t>Center Reproductive Health &amp;MFM Outreach</t>
  </si>
  <si>
    <t>UNMMG Athletics</t>
  </si>
  <si>
    <t xml:space="preserve">   Pre-Transplant</t>
  </si>
  <si>
    <t>SOM Division</t>
  </si>
  <si>
    <t>YTD</t>
  </si>
  <si>
    <t>Projected</t>
  </si>
  <si>
    <t>FY 2020</t>
  </si>
  <si>
    <t>Surgical</t>
  </si>
  <si>
    <t>Hospital Based</t>
  </si>
  <si>
    <t>Adult &amp; Primary Care</t>
  </si>
  <si>
    <t>Women &amp; Children</t>
  </si>
  <si>
    <t>Gynecology &amp; Obstetrics (General)</t>
  </si>
  <si>
    <t>Pediatric Critical Care Medicine</t>
  </si>
  <si>
    <t>Pediatric Neurology</t>
  </si>
  <si>
    <t>Behavioral Health</t>
  </si>
  <si>
    <t>Burn &amp; Trauma Surgery</t>
  </si>
  <si>
    <t>Cancer</t>
  </si>
  <si>
    <t>SRM Mid-Levels and Hospitalists</t>
  </si>
  <si>
    <t>Pulmonary/Critical Care</t>
  </si>
  <si>
    <t>SRMC MidLevels</t>
  </si>
  <si>
    <t>Surgery Summary</t>
  </si>
  <si>
    <t>Cancer Center Cummary</t>
  </si>
  <si>
    <t>Women &amp; Children Summary</t>
  </si>
  <si>
    <t>Adult &amp; Primary Summary</t>
  </si>
  <si>
    <t>Behavioral Summary</t>
  </si>
  <si>
    <t>Hospitalist Services Summary</t>
  </si>
  <si>
    <t>Provider</t>
  </si>
  <si>
    <t>Adj</t>
  </si>
  <si>
    <t>Surgery Projection</t>
  </si>
  <si>
    <t>Projection Variance</t>
  </si>
  <si>
    <t>FY20 Projection</t>
  </si>
  <si>
    <t>May '14</t>
  </si>
  <si>
    <t>Jun '14</t>
  </si>
  <si>
    <t>Jul '14</t>
  </si>
  <si>
    <t>Aug '14</t>
  </si>
  <si>
    <t>Sep '14</t>
  </si>
  <si>
    <t>Oct '14</t>
  </si>
  <si>
    <t>Nov '14</t>
  </si>
  <si>
    <t>Dec '14</t>
  </si>
  <si>
    <t>Jan '15</t>
  </si>
  <si>
    <t>Feb '15</t>
  </si>
  <si>
    <t>Mar '15</t>
  </si>
  <si>
    <t>Apr '15</t>
  </si>
  <si>
    <t>May '15</t>
  </si>
  <si>
    <t>Jun '15</t>
  </si>
  <si>
    <t>Jul '15</t>
  </si>
  <si>
    <t>Aug '15</t>
  </si>
  <si>
    <t>Sep '15</t>
  </si>
  <si>
    <t>Oct '15</t>
  </si>
  <si>
    <t>Nov '15</t>
  </si>
  <si>
    <t>Dec '15</t>
  </si>
  <si>
    <t>Jan '16</t>
  </si>
  <si>
    <t>Feb '16</t>
  </si>
  <si>
    <t>Mar '16</t>
  </si>
  <si>
    <t>Apr '16</t>
  </si>
  <si>
    <t>May '16</t>
  </si>
  <si>
    <t>Jun '16</t>
  </si>
  <si>
    <t>Jul '16</t>
  </si>
  <si>
    <t>Aug '16</t>
  </si>
  <si>
    <t>Sep '16</t>
  </si>
  <si>
    <t>Oct '16</t>
  </si>
  <si>
    <t>Nov '16</t>
  </si>
  <si>
    <t>Dec '16</t>
  </si>
  <si>
    <t>Jan '17</t>
  </si>
  <si>
    <t>Feb '17</t>
  </si>
  <si>
    <t>Mar '17</t>
  </si>
  <si>
    <t>Apr '17</t>
  </si>
  <si>
    <t>May '17</t>
  </si>
  <si>
    <t>Jun '17</t>
  </si>
  <si>
    <t>Jul '17</t>
  </si>
  <si>
    <t>Aug '17</t>
  </si>
  <si>
    <t>Sep '17</t>
  </si>
  <si>
    <t>Oct '17</t>
  </si>
  <si>
    <t>Nov '17</t>
  </si>
  <si>
    <t>Dec '17</t>
  </si>
  <si>
    <t>Jan '18</t>
  </si>
  <si>
    <t>Feb '18</t>
  </si>
  <si>
    <t>Mar '18</t>
  </si>
  <si>
    <t>Apr '18</t>
  </si>
  <si>
    <t>May '18</t>
  </si>
  <si>
    <t>Jun '18</t>
  </si>
  <si>
    <t>Jul '18</t>
  </si>
  <si>
    <t>Aug '18</t>
  </si>
  <si>
    <t>Sep '18</t>
  </si>
  <si>
    <t>Oct '18</t>
  </si>
  <si>
    <t>Nov '18</t>
  </si>
  <si>
    <t>Dec '18</t>
  </si>
  <si>
    <t>Variance to Projection</t>
  </si>
  <si>
    <t>Jan '19</t>
  </si>
  <si>
    <t>Feb '19</t>
  </si>
  <si>
    <t>Mar '19</t>
  </si>
  <si>
    <t>Apr '19</t>
  </si>
  <si>
    <t>May '19</t>
  </si>
  <si>
    <t>Jun '19</t>
  </si>
  <si>
    <t>Jul '19</t>
  </si>
  <si>
    <t>Aug '19</t>
  </si>
  <si>
    <t>Sep '19</t>
  </si>
  <si>
    <t>Oct '19</t>
  </si>
  <si>
    <t>Nov '19</t>
  </si>
  <si>
    <t>Dec '19</t>
  </si>
  <si>
    <t>July 14 Days in Surgery</t>
  </si>
  <si>
    <t>August 14 Days in Surgery</t>
  </si>
  <si>
    <t>September 14 Days in Surgery</t>
  </si>
  <si>
    <t>November 14 Days in Surgery</t>
  </si>
  <si>
    <t>December 14 Days in Surgery</t>
  </si>
  <si>
    <t>January 15 Days in Surgery</t>
  </si>
  <si>
    <t>March 15 Days in Surgery</t>
  </si>
  <si>
    <t>April 15 Days in Surgery</t>
  </si>
  <si>
    <t>May 15 Days in Surgery</t>
  </si>
  <si>
    <t>June 15 Days in Surgery</t>
  </si>
  <si>
    <t>July 15 Days in Surgery</t>
  </si>
  <si>
    <t>Aug 15 Days in Surgery</t>
  </si>
  <si>
    <t>Sep 15 Days in Surgery</t>
  </si>
  <si>
    <t>Oct 15 Days in Surgery</t>
  </si>
  <si>
    <t>Questions from week of 1/14/19 reviews</t>
  </si>
  <si>
    <t>SURGERY</t>
  </si>
  <si>
    <t>ENT</t>
  </si>
  <si>
    <t>Meiklejohn</t>
  </si>
  <si>
    <t>Pickett</t>
  </si>
  <si>
    <t>Mantle</t>
  </si>
  <si>
    <t>General (MOU FTE 5.28)</t>
  </si>
  <si>
    <t>Popek</t>
  </si>
  <si>
    <t>Fill in at SRMC at an avg of 1 per mo</t>
  </si>
  <si>
    <t>McKee</t>
  </si>
  <si>
    <t>Davis</t>
  </si>
  <si>
    <t>Benning</t>
  </si>
  <si>
    <t>Hnatiuk</t>
  </si>
  <si>
    <t>Auyang</t>
  </si>
  <si>
    <t>Miller, Heidi J</t>
  </si>
  <si>
    <t>Jason, include a projection for Dr. Miller replacement starting in December.</t>
  </si>
  <si>
    <t>Nelson</t>
  </si>
  <si>
    <t>Rai</t>
  </si>
  <si>
    <t xml:space="preserve">Rai: follow up with Jason on why increasing in FY2 </t>
  </si>
  <si>
    <t>Bock</t>
  </si>
  <si>
    <t>2 cases per day. Includes two day per month more of block time.</t>
  </si>
  <si>
    <t>Russell</t>
  </si>
  <si>
    <t>three per month</t>
  </si>
  <si>
    <r>
      <t>Fine</t>
    </r>
    <r>
      <rPr>
        <sz val="11"/>
        <color theme="8" tint="-0.249977111117893"/>
        <rFont val="Calibri"/>
        <family val="2"/>
        <scheme val="minor"/>
      </rPr>
      <t xml:space="preserve"> </t>
    </r>
  </si>
  <si>
    <t>Souchon Sanchez</t>
  </si>
  <si>
    <t>Souchon: Will trauma impact. F/u with Jason why increase to 2  month? Leave her flat.</t>
  </si>
  <si>
    <t>Plastic</t>
  </si>
  <si>
    <t>Borah</t>
  </si>
  <si>
    <t>Shetty</t>
  </si>
  <si>
    <t>Alba</t>
  </si>
  <si>
    <t>Gallegos</t>
  </si>
  <si>
    <t>DEPT</t>
  </si>
  <si>
    <t>GYN (MOU FTE 1.5)</t>
  </si>
  <si>
    <t>Montoya</t>
  </si>
  <si>
    <t>Montoya, why decreasing from FY19 projections?</t>
  </si>
  <si>
    <t>Cichowski</t>
  </si>
  <si>
    <t>Dunivan</t>
  </si>
  <si>
    <t>Hofler</t>
  </si>
  <si>
    <t>Jeppson</t>
  </si>
  <si>
    <t>Komesu</t>
  </si>
  <si>
    <t>Komesu moved clinic to Eubank but no surgery scheduler hired. Challenge to get patients from Eubank to sumac</t>
  </si>
  <si>
    <t>Lyons</t>
  </si>
  <si>
    <t>Ninivaggio</t>
  </si>
  <si>
    <t>Should Ninivaggio be 96? And Komesu zero?</t>
  </si>
  <si>
    <t>Pereda</t>
  </si>
  <si>
    <t>Dorin</t>
  </si>
  <si>
    <t xml:space="preserve">Dorin retiring in November. Zero after Dorin. </t>
  </si>
  <si>
    <t>Singh</t>
  </si>
  <si>
    <t>Rivers</t>
  </si>
  <si>
    <t>Shin</t>
  </si>
  <si>
    <t>Orthopedics (MOU FTE 4.0)</t>
  </si>
  <si>
    <t>Antony</t>
  </si>
  <si>
    <t>Garbrecht</t>
  </si>
  <si>
    <t>Bennett</t>
  </si>
  <si>
    <t>Benson</t>
  </si>
  <si>
    <t>Benson, why decrease in FY20?</t>
  </si>
  <si>
    <t>Black</t>
  </si>
  <si>
    <t>Gavin, Katherine J</t>
  </si>
  <si>
    <t>Gavin</t>
  </si>
  <si>
    <t>Treme</t>
  </si>
  <si>
    <t>Chafey</t>
  </si>
  <si>
    <t>Cheema</t>
  </si>
  <si>
    <t>Decker</t>
  </si>
  <si>
    <t>Johannesmeyer</t>
  </si>
  <si>
    <t>Gehlert</t>
  </si>
  <si>
    <t>Kakish</t>
  </si>
  <si>
    <t>Korcek</t>
  </si>
  <si>
    <t>Mercer</t>
  </si>
  <si>
    <t xml:space="preserve">Modhia </t>
  </si>
  <si>
    <t>Paterson</t>
  </si>
  <si>
    <t>Richter</t>
  </si>
  <si>
    <t>Schenck</t>
  </si>
  <si>
    <t>Dr. Schenck will be out Feb and March FY19. Why projecting a decrease in FY20?</t>
  </si>
  <si>
    <t>Veitch</t>
  </si>
  <si>
    <t>Wascher</t>
  </si>
  <si>
    <t>Hanosh</t>
  </si>
  <si>
    <t>Silva</t>
  </si>
  <si>
    <r>
      <t xml:space="preserve">Briggs </t>
    </r>
    <r>
      <rPr>
        <sz val="11"/>
        <color theme="8" tint="-0.249977111117893"/>
        <rFont val="Calibri"/>
        <family val="2"/>
        <scheme val="minor"/>
      </rPr>
      <t>S 10/14</t>
    </r>
  </si>
  <si>
    <t>Lew</t>
  </si>
  <si>
    <t>Dr. Lew, why projecting zero in FY20? Gayle to ask Dr. Benson</t>
  </si>
  <si>
    <t>New Ortho Trauma provider</t>
  </si>
  <si>
    <t>New trauma ortho surgeon</t>
  </si>
  <si>
    <t>Langsfeld</t>
  </si>
  <si>
    <t>Marek</t>
  </si>
  <si>
    <t>UNM Doc Total</t>
  </si>
  <si>
    <t xml:space="preserve">Cardiology </t>
  </si>
  <si>
    <t>Gurule</t>
  </si>
  <si>
    <t>Khoo</t>
  </si>
  <si>
    <t>Ierides</t>
  </si>
  <si>
    <t>Jeffries</t>
  </si>
  <si>
    <t xml:space="preserve">Knight </t>
  </si>
  <si>
    <t>Alexander</t>
  </si>
  <si>
    <t xml:space="preserve">General </t>
  </si>
  <si>
    <t>Doss</t>
  </si>
  <si>
    <t>Joshi</t>
  </si>
  <si>
    <t>Freeman</t>
  </si>
  <si>
    <t>Holmes</t>
  </si>
  <si>
    <t>Holman</t>
  </si>
  <si>
    <t>May</t>
  </si>
  <si>
    <t>Nagaraju</t>
  </si>
  <si>
    <t>Pan</t>
  </si>
  <si>
    <t>Rael</t>
  </si>
  <si>
    <t>Sanchez-Geswaldo</t>
  </si>
  <si>
    <t>Syme</t>
  </si>
  <si>
    <t>Tyner</t>
  </si>
  <si>
    <t>Kuang</t>
  </si>
  <si>
    <t>Holt</t>
  </si>
  <si>
    <t xml:space="preserve">Orthopedics </t>
  </si>
  <si>
    <t>Altman</t>
  </si>
  <si>
    <t>Crawford</t>
  </si>
  <si>
    <t>Mitnik</t>
  </si>
  <si>
    <t>Richards</t>
  </si>
  <si>
    <t>Morehouse</t>
  </si>
  <si>
    <t>Podiatry</t>
  </si>
  <si>
    <t>Launer</t>
  </si>
  <si>
    <t>Marshall</t>
  </si>
  <si>
    <t>Community Doc Total</t>
  </si>
  <si>
    <t>Total SRMC Cases</t>
  </si>
  <si>
    <t>Gastroenterology (MOU FTE 1.3)</t>
  </si>
  <si>
    <t>Beduya</t>
  </si>
  <si>
    <t>Kaza</t>
  </si>
  <si>
    <t xml:space="preserve">Gastroenterology </t>
  </si>
  <si>
    <t>Schreiner - sb GI</t>
  </si>
  <si>
    <t>Bay</t>
  </si>
  <si>
    <t>Gogel</t>
  </si>
  <si>
    <t>Mason</t>
  </si>
  <si>
    <t>Parker</t>
  </si>
  <si>
    <t>Villas-Adams</t>
  </si>
  <si>
    <t>Whigham</t>
  </si>
  <si>
    <t>Jakiche</t>
  </si>
  <si>
    <t>Gastroenterology in Surgery Section</t>
  </si>
  <si>
    <t>Gastroenterology in Procedure Section</t>
  </si>
  <si>
    <t>Total Gastroenterology Counts</t>
  </si>
  <si>
    <t xml:space="preserve">   Neurosurgery </t>
  </si>
  <si>
    <t xml:space="preserve">   OB/GYN </t>
  </si>
  <si>
    <t xml:space="preserve">   Surgery(ENT, General, Urology)</t>
  </si>
  <si>
    <t xml:space="preserve">   Community Doc</t>
  </si>
  <si>
    <t>For use with ONFocus Load, worktab: SRMC Surgeries</t>
  </si>
  <si>
    <t>Exclude</t>
  </si>
  <si>
    <t>Cardiology - Hai/lerides</t>
  </si>
  <si>
    <t>Clark - Cannot find on Surgery list from SRMC</t>
  </si>
  <si>
    <t>Jensen - Cannot find on Surgery list from SRMC</t>
  </si>
  <si>
    <t>Rode - Cannot find on Surgery list from SRMC</t>
  </si>
  <si>
    <t>Total Reported</t>
  </si>
  <si>
    <t>Total per source</t>
  </si>
  <si>
    <t>Variance</t>
  </si>
  <si>
    <t>Legend</t>
  </si>
  <si>
    <t>S - start date</t>
  </si>
  <si>
    <t>L - Leave date</t>
  </si>
  <si>
    <t>FY 2020 6 Month Total</t>
  </si>
  <si>
    <t>FY 2020 Annualized on 6 Month Projection</t>
  </si>
  <si>
    <t/>
  </si>
  <si>
    <t>M27</t>
  </si>
  <si>
    <t>OR - All Areas</t>
  </si>
  <si>
    <t>July '17 - Oct '18 Actuals &amp; Nov '18 - June '20 Forecast</t>
  </si>
  <si>
    <t xml:space="preserve">AU # </t>
  </si>
  <si>
    <t>Surgical Case</t>
  </si>
  <si>
    <t xml:space="preserve">Primary </t>
  </si>
  <si>
    <t>Surgial</t>
  </si>
  <si>
    <t>2017</t>
  </si>
  <si>
    <t>2018</t>
  </si>
  <si>
    <t>2019</t>
  </si>
  <si>
    <t>FY2019</t>
  </si>
  <si>
    <t>2020</t>
  </si>
  <si>
    <t>FY2020</t>
  </si>
  <si>
    <t>FY18</t>
  </si>
  <si>
    <t>FY19</t>
  </si>
  <si>
    <t>'19 v '18</t>
  </si>
  <si>
    <t>FY20</t>
  </si>
  <si>
    <t>'20 v '19</t>
  </si>
  <si>
    <t>Specialty</t>
  </si>
  <si>
    <t>Surgeon</t>
  </si>
  <si>
    <t>Area</t>
  </si>
  <si>
    <t>Notes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</si>
  <si>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</si>
  <si>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</si>
  <si>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</si>
  <si>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</si>
  <si>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</si>
  <si>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</si>
  <si>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</si>
  <si>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</si>
  <si>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</si>
  <si>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</si>
  <si>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</si>
  <si>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AUDIOLOGY</t>
  </si>
  <si>
    <t>Alessandrelli , Lara J</t>
  </si>
  <si>
    <t>UH BBRP</t>
  </si>
  <si>
    <t>Lao-Davila, Roberto G</t>
  </si>
  <si>
    <t>Pina, Christina Marie</t>
  </si>
  <si>
    <t>Smith, Ferri Demetrice</t>
  </si>
  <si>
    <t>AUDIOLOGY Total</t>
  </si>
  <si>
    <t>BARIATRICS</t>
  </si>
  <si>
    <t>Bock, Steven</t>
  </si>
  <si>
    <t>UH Main</t>
  </si>
  <si>
    <t>BARIATRICS Total</t>
  </si>
  <si>
    <t>CARDIOTHORACIC</t>
  </si>
  <si>
    <t>Booth, Dana A</t>
  </si>
  <si>
    <t>Castlemain, Brian D</t>
  </si>
  <si>
    <t>Gallegos, Robert Phillip</t>
  </si>
  <si>
    <t>No Longer Works here</t>
  </si>
  <si>
    <t>Hassan, Mohammed</t>
  </si>
  <si>
    <t>Lupinetti, Flavian M</t>
  </si>
  <si>
    <t>Moes-Metzel New FY19</t>
  </si>
  <si>
    <t>Ricci, Marco</t>
  </si>
  <si>
    <t>Richardson, Kevin Andrew</t>
  </si>
  <si>
    <t>Schwartz, Jess D</t>
  </si>
  <si>
    <t>Stewart, Robert Douglas</t>
  </si>
  <si>
    <t>MCCarthy NEW FY19 starts in January</t>
  </si>
  <si>
    <t>CARDIOTHORACIC Total</t>
  </si>
  <si>
    <t>DENTAL</t>
  </si>
  <si>
    <t>Bodziak, Jennifer R</t>
  </si>
  <si>
    <t>Concerns About Dental's Projection</t>
  </si>
  <si>
    <t>Cuttrell, Gary W</t>
  </si>
  <si>
    <t>Ivers, Melissa</t>
  </si>
  <si>
    <t>Promoted not sure of impact</t>
  </si>
  <si>
    <t>UH OSIS</t>
  </si>
  <si>
    <t>Kiran, Asli Banu</t>
  </si>
  <si>
    <t>Lowe, Keturah L</t>
  </si>
  <si>
    <t>Pavlakos, Nectarios Vasilios</t>
  </si>
  <si>
    <t>DENTAL Total</t>
  </si>
  <si>
    <t>DERM</t>
  </si>
  <si>
    <t>Smidt, Aimee C</t>
  </si>
  <si>
    <t>DERM Total</t>
  </si>
  <si>
    <t>Bennett, Erica Christine</t>
  </si>
  <si>
    <t>Boyd, Nathan H</t>
  </si>
  <si>
    <t>Brennan, Tara Eileen</t>
  </si>
  <si>
    <t>On Maternity leave</t>
  </si>
  <si>
    <t>Candelaria, Lionel M</t>
  </si>
  <si>
    <t>Cowan, Andrew Thomas</t>
  </si>
  <si>
    <t>Escudero, Ronald</t>
  </si>
  <si>
    <t>Hawley, Karen A</t>
  </si>
  <si>
    <t>Kraai, Tania L</t>
  </si>
  <si>
    <t>Mantle, Belinda A</t>
  </si>
  <si>
    <t>Meiklejohn, Duncan Alexander</t>
  </si>
  <si>
    <t>Olson, Garth T</t>
  </si>
  <si>
    <t>Pickett, Bradley P</t>
  </si>
  <si>
    <t>Schmedes, Gregg W</t>
  </si>
  <si>
    <t>Shama, Liat</t>
  </si>
  <si>
    <t>Spafford, Michael F</t>
  </si>
  <si>
    <t>ENT Total</t>
  </si>
  <si>
    <t>GEN ONC</t>
  </si>
  <si>
    <t>Fahy, Bridget Noel</t>
  </si>
  <si>
    <t>Fine, Stephanie G</t>
  </si>
  <si>
    <t>Medical Leave</t>
  </si>
  <si>
    <t>Nir, Itzhak</t>
  </si>
  <si>
    <t>Phuoc, Victor Hotan</t>
  </si>
  <si>
    <t>Prabhakaran, Sangeetha</t>
  </si>
  <si>
    <t>Rajput, Ashwani</t>
  </si>
  <si>
    <t>GEN ONC Total</t>
  </si>
  <si>
    <t>GEN SURG</t>
  </si>
  <si>
    <t>Auyang, Edward D</t>
  </si>
  <si>
    <t>Buntain, William L</t>
  </si>
  <si>
    <t>Demarest III, Gerald B</t>
  </si>
  <si>
    <t>Retired</t>
  </si>
  <si>
    <t>Glenn, John M</t>
  </si>
  <si>
    <t>????</t>
  </si>
  <si>
    <t>Howdieshell, Thomas R</t>
  </si>
  <si>
    <t>Inge, Thomas Harris</t>
  </si>
  <si>
    <t>?????</t>
  </si>
  <si>
    <t>Lemon, David G</t>
  </si>
  <si>
    <t>Lu, Stephen W</t>
  </si>
  <si>
    <t>Leaves Feb</t>
  </si>
  <si>
    <t>Mathis, Bruce</t>
  </si>
  <si>
    <t>McKee, Jason Q</t>
  </si>
  <si>
    <t>McKee, Rohini</t>
  </si>
  <si>
    <t>More Cases</t>
  </si>
  <si>
    <t>Miskimins, Richard J</t>
  </si>
  <si>
    <t>New FY19</t>
  </si>
  <si>
    <t>Moore, Sarah A</t>
  </si>
  <si>
    <t>Moulton, Steven Lee</t>
  </si>
  <si>
    <t>Nelson, M Timothy</t>
  </si>
  <si>
    <t>SRMC Mainly</t>
  </si>
  <si>
    <t>Paul, Jasmeet S</t>
  </si>
  <si>
    <t>Perger, Lena</t>
  </si>
  <si>
    <t>Pitcher, David E</t>
  </si>
  <si>
    <t>Popek, Sarah</t>
  </si>
  <si>
    <t>Roach, Jonathan Price</t>
  </si>
  <si>
    <t>Russell, John C</t>
  </si>
  <si>
    <t>Somme, Stig</t>
  </si>
  <si>
    <t>Souchon Sanchez, Patricia</t>
  </si>
  <si>
    <t>Wang, Ming-Li</t>
  </si>
  <si>
    <t>West, Sonlee Denise</t>
  </si>
  <si>
    <t>GEN SURG Total</t>
  </si>
  <si>
    <t>Alcorn, Joseph M</t>
  </si>
  <si>
    <t>Alhmoud, Tarik Z</t>
  </si>
  <si>
    <t>Arora, Sanjeev</t>
  </si>
  <si>
    <t>Castillo, Ricardo Orlando</t>
  </si>
  <si>
    <t>Castresana, Daniel N</t>
  </si>
  <si>
    <t>Chang, Christopher Han Sheng</t>
  </si>
  <si>
    <t>Dharmaraj, Rajmohan</t>
  </si>
  <si>
    <t>Fridge, Jacqueline L</t>
  </si>
  <si>
    <t>Gavin, Michael W</t>
  </si>
  <si>
    <t>Gessel, Luke M</t>
  </si>
  <si>
    <t>Kaza, Archana</t>
  </si>
  <si>
    <t>Parasher, Gulshan</t>
  </si>
  <si>
    <t>Parashette, Kalyan</t>
  </si>
  <si>
    <t>Queen, Thomas C</t>
  </si>
  <si>
    <t>Rustagi, Tarun</t>
  </si>
  <si>
    <t>Torrazza Perez, Euriko G</t>
  </si>
  <si>
    <t>Vohra, Pankaj</t>
  </si>
  <si>
    <t>Volpicelli, Nicholas A</t>
  </si>
  <si>
    <t>GI Total</t>
  </si>
  <si>
    <t>GYN ONC</t>
  </si>
  <si>
    <t>Adams, Sarah Foster</t>
  </si>
  <si>
    <t>Did not here back from Service on Proj.</t>
  </si>
  <si>
    <t>Lokich, Elizabeth</t>
  </si>
  <si>
    <t>Muller, Carolyn</t>
  </si>
  <si>
    <t>Rutledge, Teresa Lynn</t>
  </si>
  <si>
    <t>GYN ONC Total</t>
  </si>
  <si>
    <t>MISC</t>
  </si>
  <si>
    <t>Abraham, Shirley M</t>
  </si>
  <si>
    <t>Arana Yi, Cecilia Ysabel</t>
  </si>
  <si>
    <t>Argyropoulos, Christos P</t>
  </si>
  <si>
    <t>UH OSIS Satellite</t>
  </si>
  <si>
    <t>Bajracharya, Manish Dhar</t>
  </si>
  <si>
    <t>Barrett, Douglas W</t>
  </si>
  <si>
    <t>Boayue, Koh B</t>
  </si>
  <si>
    <t>Brierley, Janet K</t>
  </si>
  <si>
    <t>Caffey, Laura F</t>
  </si>
  <si>
    <t>Chen, Shan Shan</t>
  </si>
  <si>
    <t>Craig, Rebecca Rotello</t>
  </si>
  <si>
    <t>Cruickshank, Amy C</t>
  </si>
  <si>
    <t>Daher, Amine</t>
  </si>
  <si>
    <t>Davies, Lea</t>
  </si>
  <si>
    <t>Duran, Anna L</t>
  </si>
  <si>
    <t>Encalada, Santiago E</t>
  </si>
  <si>
    <t>Falcon, Ricardo J</t>
  </si>
  <si>
    <t>Hadid, Senan</t>
  </si>
  <si>
    <t>Hnatiuk, Oleh</t>
  </si>
  <si>
    <t>Kuttesch Jr., John Frank</t>
  </si>
  <si>
    <t>Love, Jon Clayton</t>
  </si>
  <si>
    <t>Magdaleno, Yasmin</t>
  </si>
  <si>
    <t>Mayfield, Jodi R</t>
  </si>
  <si>
    <t>Owen, Jonathan Glendower</t>
  </si>
  <si>
    <t>Owens, Jonathan</t>
  </si>
  <si>
    <t>Saeed, Ali Imran</t>
  </si>
  <si>
    <t>Sanchez, Melissa Ann</t>
  </si>
  <si>
    <t>Shaffi, Saeed Kamran</t>
  </si>
  <si>
    <t>Soneru, Codruta Nicoleta</t>
  </si>
  <si>
    <t>Sood, Akshay</t>
  </si>
  <si>
    <t>Taylor, Denise E</t>
  </si>
  <si>
    <t>Wong, Craig S</t>
  </si>
  <si>
    <t>MISC Total</t>
  </si>
  <si>
    <t>NEURO SURG</t>
  </si>
  <si>
    <t>Botros, James A</t>
  </si>
  <si>
    <t>Carlson, Andrew P</t>
  </si>
  <si>
    <t>Chohan, Muhammad O</t>
  </si>
  <si>
    <t>Foster, Kimberly Anne</t>
  </si>
  <si>
    <t>Lewis, Jeremy J</t>
  </si>
  <si>
    <t>Pappu, Suguna</t>
  </si>
  <si>
    <t>Rivers, William Evan</t>
  </si>
  <si>
    <t>Shin, Peter C</t>
  </si>
  <si>
    <t>Taylor, Christopher L</t>
  </si>
  <si>
    <t>Yonas, Howard</t>
  </si>
  <si>
    <t>NEURO SURG Total</t>
  </si>
  <si>
    <t>NEUROLOGY</t>
  </si>
  <si>
    <t>Kiser, Ryan</t>
  </si>
  <si>
    <t>Phillips, John P</t>
  </si>
  <si>
    <t>NEUROLOGY Total</t>
  </si>
  <si>
    <t>OB-GYN</t>
  </si>
  <si>
    <t>Andrews, Nicholas L</t>
  </si>
  <si>
    <t>Bayat, Lily</t>
  </si>
  <si>
    <t xml:space="preserve"> New BBRP Surgeon (Olquendo del toro)</t>
  </si>
  <si>
    <t>Burkhardt, Gillian</t>
  </si>
  <si>
    <t>Chalouhi, Salam E</t>
  </si>
  <si>
    <t>Chavez, Alice C</t>
  </si>
  <si>
    <t>Dorin, Maxine H</t>
  </si>
  <si>
    <t>Espey, Eve Boyd</t>
  </si>
  <si>
    <t>Gordon, Erin Murata</t>
  </si>
  <si>
    <t>Adjusting for extended leave</t>
  </si>
  <si>
    <t>Hofler, Lisa</t>
  </si>
  <si>
    <t>Kennedy, Kathleen A</t>
  </si>
  <si>
    <t>Krashin, Jamie</t>
  </si>
  <si>
    <t>Started Oct FY19</t>
  </si>
  <si>
    <t>Lyons, Katherine E</t>
  </si>
  <si>
    <t>Montoya, Maria C</t>
  </si>
  <si>
    <t>Pereda, Brenda</t>
  </si>
  <si>
    <t>Phelan, Sharon T</t>
  </si>
  <si>
    <t>Riley, Regan Elizabeth</t>
  </si>
  <si>
    <t>Rivera-Montalvo, Maritza Amaly</t>
  </si>
  <si>
    <t>Started July FY19, Fellow</t>
  </si>
  <si>
    <t>Stonehocker, Jody L</t>
  </si>
  <si>
    <t>Swanson, Naomi Yao</t>
  </si>
  <si>
    <t>Taylor, Betsy J</t>
  </si>
  <si>
    <t>OB-GYN Total</t>
  </si>
  <si>
    <t>OMF</t>
  </si>
  <si>
    <t>Hanchett, Matthew Clifton</t>
  </si>
  <si>
    <t>Rogol</t>
  </si>
  <si>
    <t>Schow, Brett Douglas</t>
  </si>
  <si>
    <t>OMF Total</t>
  </si>
  <si>
    <t>OPHTH</t>
  </si>
  <si>
    <t>Adams, Kenneth Paul</t>
  </si>
  <si>
    <t>Avery, Robert B</t>
  </si>
  <si>
    <t>Das, Arup</t>
  </si>
  <si>
    <t>Davis, Rachel E</t>
  </si>
  <si>
    <t>Goldblum, Todd A</t>
  </si>
  <si>
    <t>Hickox, John Robert</t>
  </si>
  <si>
    <t>Joshi, Amar B</t>
  </si>
  <si>
    <t>Leenheer, Rebecca Suzanne</t>
  </si>
  <si>
    <t>Patel, Amar J</t>
  </si>
  <si>
    <t>Rose, Linda</t>
  </si>
  <si>
    <t>Leaving in Feb, Dr. Davis arriving in March</t>
  </si>
  <si>
    <t>Roybal, Christopher Nathaniel</t>
  </si>
  <si>
    <t>Sitko, Kevin R</t>
  </si>
  <si>
    <t>Tosi, Joaquin</t>
  </si>
  <si>
    <t>OPHTH Total</t>
  </si>
  <si>
    <t>ORGAN PROCUREMENT</t>
  </si>
  <si>
    <t>Kerr, Hannah Ruth</t>
  </si>
  <si>
    <t>ORGAN PROCUREMENT Total</t>
  </si>
  <si>
    <t>ORTHO</t>
  </si>
  <si>
    <t>Antony, Antony Kallur</t>
  </si>
  <si>
    <t>Benally, Attlee B</t>
  </si>
  <si>
    <t>Bennett, David M</t>
  </si>
  <si>
    <t>Benson, Eric C</t>
  </si>
  <si>
    <t>Briggs, Dustin T</t>
  </si>
  <si>
    <t>Chafey, David Holmes</t>
  </si>
  <si>
    <t>Chiu, Haywan</t>
  </si>
  <si>
    <t>DeCoster, Thomas A</t>
  </si>
  <si>
    <t>Garbrecht, Erika L</t>
  </si>
  <si>
    <t>Gehlert, Rick J</t>
  </si>
  <si>
    <t>Hanosh, Christopher Raymond</t>
  </si>
  <si>
    <t>Kakish, Samer</t>
  </si>
  <si>
    <t>Lew, Eric</t>
  </si>
  <si>
    <t>McArthur, Samuel A</t>
  </si>
  <si>
    <t>Mercer, Deana</t>
  </si>
  <si>
    <t>Mikola, Elizabeth A</t>
  </si>
  <si>
    <t>Miller, Richard A</t>
  </si>
  <si>
    <t>Modhia, Urvij M</t>
  </si>
  <si>
    <t>Moneim, Moheb S</t>
  </si>
  <si>
    <t>Paterson, Andrew J</t>
  </si>
  <si>
    <t>Richter, Dustin L</t>
  </si>
  <si>
    <t>Schenck Jr, Robert C</t>
  </si>
  <si>
    <t>Silva, Selina R</t>
  </si>
  <si>
    <t>Treme, Gehron P</t>
  </si>
  <si>
    <t>Veitch, Andrew J</t>
  </si>
  <si>
    <t>Wascher, Daniel C</t>
  </si>
  <si>
    <t>ORTHO Total</t>
  </si>
  <si>
    <t>PAIN</t>
  </si>
  <si>
    <t>Grandhe, Radhika Prasad</t>
  </si>
  <si>
    <t>Koshkin, Eugene</t>
  </si>
  <si>
    <t>Valeriano, Matthew J</t>
  </si>
  <si>
    <t>PAIN Total</t>
  </si>
  <si>
    <t>PLASTICS</t>
  </si>
  <si>
    <t>Borah, Gregory</t>
  </si>
  <si>
    <t>Demas, Christopher Papalexis</t>
  </si>
  <si>
    <t>Shetty, Anil</t>
  </si>
  <si>
    <t>Wu, Eugene Chi-Hwa</t>
  </si>
  <si>
    <t>Wu, Jeffrey Y</t>
  </si>
  <si>
    <t>PLASTICS Total</t>
  </si>
  <si>
    <t>PSYCHIATRY</t>
  </si>
  <si>
    <t>Abbott, Christopher C</t>
  </si>
  <si>
    <t>ECT's not done with Surgical Services</t>
  </si>
  <si>
    <t>Evans, Daniel A</t>
  </si>
  <si>
    <t>Miller, Jeremy</t>
  </si>
  <si>
    <t>Romo, Paul E</t>
  </si>
  <si>
    <t>Sowar, Kristina S</t>
  </si>
  <si>
    <t>PSYCHIATRY Total</t>
  </si>
  <si>
    <t>RAD ONC</t>
  </si>
  <si>
    <t>Gan, Gregory N</t>
  </si>
  <si>
    <t>Lee, David Yooyul</t>
  </si>
  <si>
    <t>Liem, Benny J</t>
  </si>
  <si>
    <t>Schroeder, Thomas M</t>
  </si>
  <si>
    <t>Thompson Jr, William R</t>
  </si>
  <si>
    <t>RAD ONC Total</t>
  </si>
  <si>
    <t>URO GYN</t>
  </si>
  <si>
    <t>Cichowski, Sara Beth</t>
  </si>
  <si>
    <t>Dunivan, Gena Colleen</t>
  </si>
  <si>
    <t>Jeppson, Peter Clegg</t>
  </si>
  <si>
    <t>Komesu, Yuko M</t>
  </si>
  <si>
    <t>URO GYN Total</t>
  </si>
  <si>
    <t>UROLOGY</t>
  </si>
  <si>
    <t>Alba, Frances Maria</t>
  </si>
  <si>
    <t>Choate, Hannah Ruth</t>
  </si>
  <si>
    <t>Davis, Michael S</t>
  </si>
  <si>
    <t>Gallegos, Maxx</t>
  </si>
  <si>
    <t>Ming, Jessica M</t>
  </si>
  <si>
    <t>Riley, Julie Marie</t>
  </si>
  <si>
    <t>Shah, Satyan</t>
  </si>
  <si>
    <t>Wilson, Jason M</t>
  </si>
  <si>
    <t>UROLOGY Total</t>
  </si>
  <si>
    <t>VASCULAR</t>
  </si>
  <si>
    <t>Chavez, LeAnn A</t>
  </si>
  <si>
    <t>Guliani, Sundeep</t>
  </si>
  <si>
    <t>Langsfeld, Mark</t>
  </si>
  <si>
    <t>Marek, John M</t>
  </si>
  <si>
    <t>Rana, Muhammad Ali A</t>
  </si>
  <si>
    <t>VASCULAR Total</t>
  </si>
  <si>
    <t>Grand Total</t>
  </si>
  <si>
    <t>New Surgeons:</t>
  </si>
  <si>
    <t>Total New Surgeries</t>
  </si>
  <si>
    <t>Decrease Surgeons:</t>
  </si>
  <si>
    <t>Total Decrease Surgeries</t>
  </si>
  <si>
    <t>Total Projected Surgeries</t>
  </si>
  <si>
    <t xml:space="preserve">Achieve Budgeted Surgeries </t>
  </si>
  <si>
    <t xml:space="preserve">Surgeries </t>
  </si>
  <si>
    <t xml:space="preserve">Achieve Budgeted  Discharges </t>
  </si>
  <si>
    <t>FY19   YTD</t>
  </si>
  <si>
    <t>FY20    Target</t>
  </si>
  <si>
    <t>Improve Outpatient Quality and Safety</t>
  </si>
  <si>
    <t xml:space="preserve">Achieve Budgeted Total Discharges (including Behavioral &amp; Observation) </t>
  </si>
  <si>
    <t>Observed/Expected</t>
  </si>
  <si>
    <t>CLABSI;CAUTI;C-diff;SSI colorectal;SSI hysterectomy</t>
  </si>
  <si>
    <t>PSI-3; PSI-6;PSI-9; PSI-11; PSI-13; Peri-op DVT/PE</t>
  </si>
  <si>
    <t>75% response rate</t>
  </si>
  <si>
    <t>51% response rate</t>
  </si>
  <si>
    <t>FY19 YTD</t>
  </si>
  <si>
    <t>Mortality Index                                (FY19 is 2017 RM;FY20 is 2018 RM)</t>
  </si>
  <si>
    <t>FY19 YTD (Annualized)</t>
  </si>
  <si>
    <t>FY19    Current</t>
  </si>
  <si>
    <t>Diabetes Eye Exam</t>
  </si>
  <si>
    <t>Controlling HgbA1c &lt;/= 9</t>
  </si>
  <si>
    <t>Diabetes Kidney Disease Monitoring</t>
  </si>
  <si>
    <t>Behavioral Health 7 day f/u post hosp</t>
  </si>
  <si>
    <t>Provider Metrics</t>
  </si>
  <si>
    <t>Clinic Metrics</t>
  </si>
  <si>
    <t>% Change</t>
  </si>
  <si>
    <t xml:space="preserve">Health System Net Margin &gt;0%                                                  </t>
  </si>
  <si>
    <t>PSI 3 - Nursing</t>
  </si>
  <si>
    <t>75% Response Rate</t>
  </si>
  <si>
    <t>51% Response Rate</t>
  </si>
  <si>
    <t>+Provider and Clinic Measure</t>
  </si>
  <si>
    <t>Inpatient Composite Score - 70% or greater of measures at or better than target                                                          (5=90%;4=80-89%;3=70-79%;2=60-69%;1=50-59%)</t>
  </si>
  <si>
    <t xml:space="preserve">Inpatient Composite Score - 70% or greater of measures at or better than target                                                          </t>
  </si>
  <si>
    <t>Recommend the hospital for HCAHPS</t>
  </si>
  <si>
    <t>Achieve Net Margin Budget</t>
  </si>
  <si>
    <t>Blood Pressure less than 140/90</t>
  </si>
  <si>
    <t>Paneled Adult Primary Care</t>
  </si>
  <si>
    <t>Paneled Pediatric Primary Care</t>
  </si>
  <si>
    <t>Well child visits NB-18 mos (&gt;7 visits)</t>
  </si>
  <si>
    <t xml:space="preserve">Increase CMI by 4% </t>
  </si>
  <si>
    <t>Well Child visits NB-18 months (&gt;7 visits)</t>
  </si>
  <si>
    <t>Provider Engagement response rate</t>
  </si>
  <si>
    <t>Provider Engagement Response Rate</t>
  </si>
  <si>
    <t>Aidet Validation</t>
  </si>
  <si>
    <t>Rounding</t>
  </si>
  <si>
    <t>AIDET Validation</t>
  </si>
  <si>
    <t>Recommend the Hopsital for HCAHPS</t>
  </si>
  <si>
    <t>Clinical Dashboard for Department of Anesthesiology - FY20</t>
  </si>
  <si>
    <t>Clinical Dashboard for  Department of Dental Medicine - FY20</t>
  </si>
  <si>
    <t>Clinical Dashboard for Department of Ob/Gyn - FY20</t>
  </si>
  <si>
    <t>Clinical Dashboard for Department of Pediatrics - FY20</t>
  </si>
  <si>
    <t>UNMH Surgical Cases</t>
  </si>
  <si>
    <t>SRMC Surgical Cases</t>
  </si>
  <si>
    <t>Achieve Budgeted Surgeries at SRMC</t>
  </si>
  <si>
    <t>Achieve budgeted wRVUs - UNMH</t>
  </si>
  <si>
    <t>Clinical Dashboard for Department of Emergency Medicine - FY20</t>
  </si>
  <si>
    <t>&lt;6%</t>
  </si>
  <si>
    <t>PG Trauma 1 = Mean</t>
  </si>
  <si>
    <t>Clinical Dashboard for Department of Radiology - FY20</t>
  </si>
  <si>
    <t>TAT Cross-Sectional Studies</t>
  </si>
  <si>
    <t>Clinical Dashboard for Department of Family &amp; Community Medicine - FY20</t>
  </si>
  <si>
    <t>Recommend the hospital HCAHPS</t>
  </si>
  <si>
    <t>Diabetes HgbA1c &lt;9</t>
  </si>
  <si>
    <t>Blood pressure less than 140/90</t>
  </si>
  <si>
    <t>Clinical Dashboard for  Department of Surgery - FY20</t>
  </si>
  <si>
    <t>Achieve budgeted clinic visits at SRMC</t>
  </si>
  <si>
    <t>Clinical Dashboard for Department of Orthopaedics - FY20</t>
  </si>
  <si>
    <t>FY 120Goal</t>
  </si>
  <si>
    <t>Achieve budgeted clinic visits at UNMMG</t>
  </si>
  <si>
    <t xml:space="preserve">Clinical Dashboard for Department of Neurosurgery - FY20 </t>
  </si>
  <si>
    <t>Clinical Dashboard for Chair of Department of Dermatology - FY20</t>
  </si>
  <si>
    <t>FY20 Goal</t>
  </si>
  <si>
    <t>Clinical Dashboard for Department of Neurology - FY20</t>
  </si>
  <si>
    <t>Clinical Dashboard for Department of Psychiatry - FY20</t>
  </si>
  <si>
    <t>7 day f/u post hospitalization</t>
  </si>
  <si>
    <t>Clinical Dashboard for Department of Internal Medicine - FY20</t>
  </si>
  <si>
    <t>Clinical Dashboard for  Cancer Center - FY20</t>
  </si>
  <si>
    <t>Patient Net Revenue</t>
  </si>
  <si>
    <t>Achieved budgeted wRVUs</t>
  </si>
  <si>
    <t>Recommend the hospital for HCAHPS (UNMH)</t>
  </si>
  <si>
    <t xml:space="preserve">Clinical Dashboard for Department of Pathology - FY20 </t>
  </si>
  <si>
    <t>Achieve budgeted surgical cases at SRMC</t>
  </si>
  <si>
    <t>Excellent CLER &amp; ACGME Outcomes</t>
  </si>
  <si>
    <t>Improve ACGME institutional score in three key areas related to learning environment.</t>
  </si>
  <si>
    <t>Increase "residents can raise concerns without fear" by 5%</t>
  </si>
  <si>
    <t>Increase "residents satisfied with process to deal with problems and concerns" by 5%</t>
  </si>
  <si>
    <t>Increase "residents' education (not) compromised by excessive reliance on non-physician obligations" by 5%</t>
  </si>
  <si>
    <t>Improve LCME institutional score in three priority areas related to learning environment.</t>
  </si>
  <si>
    <t>Increase percent of students who report knowing procedures for reporting mistreatment by 5%</t>
  </si>
  <si>
    <t>Increase students reporting never having been publicly humiliated by 5%</t>
  </si>
  <si>
    <t>Increase students reporting never having been publicly embarrassed by 5%</t>
  </si>
  <si>
    <t>Composite Score - 70% or greater of measures at or better than target                                                     (5=90%;4=80-89%;3=70-79%;2=60-69%;1=50-59%)</t>
  </si>
  <si>
    <t>Adult Paneled Primary Care Composite Score</t>
  </si>
  <si>
    <t>Pediatric Paneled Primary Care Composite Score</t>
  </si>
  <si>
    <t>Composite Score - 80% or greater of measures at or better than target                                                                             (5=100%;4=81-99%;3=80%;2=61-79%;1=60%)</t>
  </si>
  <si>
    <t>Value Based Contract Composite Score</t>
  </si>
  <si>
    <t>Blood Pressure less than 140/90; Controlled HgbA1c &lt;/= 9; Annual Medication Reconciliation; Diabetes Eye Exam; Diabetes Kidney Disease Monitoring; Breast Cancer Screening; Behavioral 7 day f/u post hospitalization</t>
  </si>
  <si>
    <t>MMR Immunzation; Tdap Immunization; Annual Medication Reconciliation; Vision Screening; Well-child visits NB-18 months (&gt;7 visits); Behavioral 7 day f/u post hospitalization</t>
  </si>
  <si>
    <t>All cause 30 day readmissions; Controlled HgbA1c &lt;/= 9; Diabetes Statin Use; Diabetes Kidney Disease Monitoring; Breast Cancer Screening</t>
  </si>
  <si>
    <t>Annual Medication Reconciliation</t>
  </si>
  <si>
    <t>TBD</t>
  </si>
  <si>
    <t>MMR Immunization</t>
  </si>
  <si>
    <t>Tdap Immunization</t>
  </si>
  <si>
    <t>Vision Screening</t>
  </si>
  <si>
    <t>46%/87%</t>
  </si>
  <si>
    <t>Value Based Contract</t>
  </si>
  <si>
    <t>All Cause 30 Day Readmissions</t>
  </si>
  <si>
    <t>Diabetes Statin Use</t>
  </si>
  <si>
    <t>SRMC Elective Total Joint Complications</t>
  </si>
  <si>
    <t>SRMC Elective Total Joint Readmissions</t>
  </si>
  <si>
    <r>
      <t xml:space="preserve"> Recommend the hospital for HCAHPS 38th %tile 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                         (5 %tile increase over FY19 (min 25th/max 75th)</t>
    </r>
  </si>
  <si>
    <t xml:space="preserve"> Likelihood of recommending this practice for Press Ganey 31st %tile (5 %tile increase over FY19 (min 25th/max 75th)</t>
  </si>
  <si>
    <t>Likelihood of recommending this practice for Press Ganey</t>
  </si>
  <si>
    <t>Likelihood of recommending this practice for PG</t>
  </si>
  <si>
    <t>Achieve budgeted outpatient clinic visits - UNMMG</t>
  </si>
  <si>
    <t xml:space="preserve">Achieve Budgeted CMI </t>
  </si>
  <si>
    <t>Remove not clinic visits</t>
  </si>
  <si>
    <t>Press Ganey O/P</t>
  </si>
  <si>
    <t>FY19 Actual</t>
  </si>
  <si>
    <t>Total Discharges (incl behav_Observation)</t>
  </si>
  <si>
    <t>UNMH PG survey - Top Box Score - I/P</t>
  </si>
  <si>
    <t>UNMH PG survey - ToP Box Score - O/P</t>
  </si>
  <si>
    <t>Academic Metrics</t>
  </si>
  <si>
    <t xml:space="preserve">ACGME </t>
  </si>
  <si>
    <t>"residents can raise concerns without fear"</t>
  </si>
  <si>
    <t>"residents satisfied with process to deal with problems and concerns"</t>
  </si>
  <si>
    <t>"residents' education (not) compromised by excessive reliance on non-physician obligations"</t>
  </si>
  <si>
    <t>May 2019 results</t>
  </si>
  <si>
    <t>May 2020 Target</t>
  </si>
  <si>
    <t>All Entities</t>
  </si>
  <si>
    <t>LCME</t>
  </si>
  <si>
    <t>"Do you know the procedures at your school for reporting the mistreatment of medical students?"</t>
  </si>
  <si>
    <t># of students reporting Never having been publicly humiliated</t>
  </si>
  <si>
    <t># of students reporting Never having been publicly embarrased</t>
  </si>
  <si>
    <t>2018 Data Received July 2018</t>
  </si>
  <si>
    <t>2019 Data Received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</si>
</sst>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;[Red]#,##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ED56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9677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9">
    <xf numFmtId="0" fontId="0" fillId="0" borderId="0" xfId="0"/>
    <xf numFmtId="0" fontId="14" fillId="0" borderId="0" xfId="0" applyFont="1" applyBorder="1"/>
    <xf numFmtId="0" fontId="0" fillId="0" borderId="0" xfId="0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7" fillId="0" borderId="2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0" fillId="0" borderId="0" xfId="0" applyFill="1"/>
    <xf numFmtId="0" fontId="14" fillId="0" borderId="0" xfId="0" applyFont="1" applyFill="1"/>
    <xf numFmtId="0" fontId="21" fillId="0" borderId="7" xfId="0" applyFont="1" applyBorder="1"/>
    <xf numFmtId="0" fontId="14" fillId="0" borderId="8" xfId="0" applyFont="1" applyBorder="1" applyAlignment="1">
      <alignment horizontal="center" wrapText="1"/>
    </xf>
    <xf numFmtId="164" fontId="0" fillId="0" borderId="0" xfId="19" applyNumberFormat="1" applyFont="1"/>
    <xf numFmtId="164" fontId="0" fillId="0" borderId="0" xfId="0" applyNumberFormat="1"/>
    <xf numFmtId="164" fontId="22" fillId="0" borderId="0" xfId="19" applyNumberFormat="1" applyFont="1"/>
    <xf numFmtId="0" fontId="22" fillId="0" borderId="0" xfId="0" applyFont="1"/>
    <xf numFmtId="9" fontId="0" fillId="0" borderId="0" xfId="20" applyFont="1"/>
    <xf numFmtId="0" fontId="21" fillId="0" borderId="0" xfId="0" applyFont="1"/>
    <xf numFmtId="164" fontId="21" fillId="0" borderId="0" xfId="19" applyNumberFormat="1" applyFont="1"/>
    <xf numFmtId="9" fontId="21" fillId="0" borderId="0" xfId="20" applyFont="1"/>
    <xf numFmtId="164" fontId="14" fillId="0" borderId="0" xfId="19" applyNumberFormat="1" applyFont="1"/>
    <xf numFmtId="9" fontId="14" fillId="0" borderId="0" xfId="20" applyFont="1"/>
    <xf numFmtId="164" fontId="14" fillId="0" borderId="0" xfId="19" applyNumberFormat="1" applyFont="1" applyFill="1"/>
    <xf numFmtId="164" fontId="0" fillId="0" borderId="0" xfId="19" applyNumberFormat="1" applyFont="1" applyFill="1"/>
    <xf numFmtId="0" fontId="14" fillId="0" borderId="7" xfId="0" applyFont="1" applyBorder="1"/>
    <xf numFmtId="0" fontId="14" fillId="0" borderId="0" xfId="2" applyFont="1" applyFill="1"/>
    <xf numFmtId="0" fontId="14" fillId="0" borderId="0" xfId="0" applyFont="1" applyFill="1" applyBorder="1"/>
    <xf numFmtId="0" fontId="14" fillId="0" borderId="0" xfId="0" applyFont="1" applyBorder="1" applyAlignment="1">
      <alignment horizontal="center" wrapText="1"/>
    </xf>
    <xf numFmtId="0" fontId="21" fillId="0" borderId="0" xfId="0" applyFont="1" applyBorder="1"/>
    <xf numFmtId="0" fontId="21" fillId="0" borderId="0" xfId="0" applyFont="1" applyFill="1" applyBorder="1"/>
    <xf numFmtId="0" fontId="14" fillId="0" borderId="7" xfId="0" applyFont="1" applyFill="1" applyBorder="1"/>
    <xf numFmtId="9" fontId="0" fillId="0" borderId="7" xfId="20" applyFont="1" applyBorder="1"/>
    <xf numFmtId="0" fontId="21" fillId="0" borderId="9" xfId="0" applyFont="1" applyBorder="1"/>
    <xf numFmtId="164" fontId="21" fillId="0" borderId="9" xfId="19" applyNumberFormat="1" applyFont="1" applyBorder="1"/>
    <xf numFmtId="9" fontId="21" fillId="0" borderId="9" xfId="20" applyFont="1" applyBorder="1"/>
    <xf numFmtId="0" fontId="21" fillId="0" borderId="8" xfId="0" applyFont="1" applyBorder="1"/>
    <xf numFmtId="9" fontId="21" fillId="0" borderId="8" xfId="20" applyFont="1" applyBorder="1"/>
    <xf numFmtId="0" fontId="0" fillId="0" borderId="7" xfId="0" applyBorder="1"/>
    <xf numFmtId="0" fontId="21" fillId="0" borderId="9" xfId="0" applyFont="1" applyFill="1" applyBorder="1"/>
    <xf numFmtId="0" fontId="21" fillId="0" borderId="0" xfId="0" applyFont="1" applyFill="1"/>
    <xf numFmtId="9" fontId="0" fillId="0" borderId="0" xfId="20" applyFont="1" applyBorder="1"/>
    <xf numFmtId="9" fontId="21" fillId="0" borderId="0" xfId="20" applyFont="1" applyBorder="1"/>
    <xf numFmtId="9" fontId="0" fillId="0" borderId="0" xfId="20" applyFont="1" applyFill="1"/>
    <xf numFmtId="164" fontId="21" fillId="0" borderId="9" xfId="19" applyNumberFormat="1" applyFont="1" applyFill="1" applyBorder="1"/>
    <xf numFmtId="9" fontId="21" fillId="0" borderId="9" xfId="20" applyFont="1" applyFill="1" applyBorder="1"/>
    <xf numFmtId="0" fontId="0" fillId="0" borderId="0" xfId="0" applyFill="1" applyBorder="1"/>
    <xf numFmtId="164" fontId="21" fillId="0" borderId="0" xfId="19" applyNumberFormat="1" applyFont="1" applyFill="1"/>
    <xf numFmtId="164" fontId="21" fillId="0" borderId="7" xfId="19" applyNumberFormat="1" applyFont="1" applyFill="1" applyBorder="1"/>
    <xf numFmtId="164" fontId="0" fillId="0" borderId="0" xfId="19" applyNumberFormat="1" applyFont="1" applyFill="1" applyBorder="1"/>
    <xf numFmtId="9" fontId="14" fillId="0" borderId="0" xfId="20" applyFont="1" applyBorder="1"/>
    <xf numFmtId="9" fontId="21" fillId="0" borderId="7" xfId="20" applyFont="1" applyFill="1" applyBorder="1"/>
    <xf numFmtId="0" fontId="17" fillId="0" borderId="2" xfId="0" applyFont="1" applyFill="1" applyBorder="1"/>
    <xf numFmtId="0" fontId="0" fillId="0" borderId="0" xfId="0" applyAlignment="1">
      <alignment horizontal="center"/>
    </xf>
    <xf numFmtId="0" fontId="24" fillId="0" borderId="0" xfId="0" applyFont="1" applyAlignment="1">
      <alignment vertical="center" wrapText="1"/>
    </xf>
    <xf numFmtId="0" fontId="17" fillId="0" borderId="6" xfId="0" applyFont="1" applyBorder="1"/>
    <xf numFmtId="164" fontId="21" fillId="0" borderId="0" xfId="19" applyNumberFormat="1" applyFont="1" applyFill="1" applyBorder="1"/>
    <xf numFmtId="0" fontId="23" fillId="0" borderId="0" xfId="0" applyFont="1" applyAlignment="1"/>
    <xf numFmtId="0" fontId="23" fillId="0" borderId="0" xfId="0" applyFont="1" applyAlignment="1">
      <alignment horizontal="center" wrapText="1"/>
    </xf>
    <xf numFmtId="164" fontId="14" fillId="0" borderId="0" xfId="19" applyNumberFormat="1" applyFont="1" applyAlignment="1"/>
    <xf numFmtId="43" fontId="21" fillId="0" borderId="0" xfId="19" applyFont="1"/>
    <xf numFmtId="43" fontId="0" fillId="0" borderId="0" xfId="19" applyFont="1" applyFill="1"/>
    <xf numFmtId="164" fontId="21" fillId="0" borderId="0" xfId="19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164" fontId="14" fillId="0" borderId="0" xfId="0" applyNumberFormat="1" applyFont="1"/>
    <xf numFmtId="0" fontId="0" fillId="0" borderId="7" xfId="0" applyBorder="1" applyAlignment="1">
      <alignment horizontal="left" vertical="center"/>
    </xf>
    <xf numFmtId="0" fontId="21" fillId="0" borderId="0" xfId="0" applyFont="1" applyAlignment="1"/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0" xfId="1"/>
    <xf numFmtId="164" fontId="0" fillId="0" borderId="0" xfId="21" applyNumberFormat="1" applyFont="1"/>
    <xf numFmtId="164" fontId="0" fillId="0" borderId="0" xfId="21" applyNumberFormat="1" applyFont="1" applyFill="1"/>
    <xf numFmtId="166" fontId="0" fillId="0" borderId="0" xfId="21" applyNumberFormat="1" applyFont="1"/>
    <xf numFmtId="164" fontId="0" fillId="0" borderId="0" xfId="21" applyNumberFormat="1" applyFont="1" applyBorder="1"/>
    <xf numFmtId="166" fontId="0" fillId="0" borderId="0" xfId="21" applyNumberFormat="1" applyFont="1" applyBorder="1"/>
    <xf numFmtId="164" fontId="26" fillId="0" borderId="0" xfId="21" applyNumberFormat="1" applyFont="1"/>
    <xf numFmtId="164" fontId="26" fillId="0" borderId="0" xfId="21" applyNumberFormat="1" applyFont="1" applyFill="1"/>
    <xf numFmtId="166" fontId="26" fillId="0" borderId="0" xfId="21" applyNumberFormat="1" applyFont="1" applyFill="1" applyBorder="1"/>
    <xf numFmtId="165" fontId="26" fillId="0" borderId="7" xfId="21" applyNumberFormat="1" applyFont="1" applyBorder="1"/>
    <xf numFmtId="164" fontId="26" fillId="0" borderId="7" xfId="21" applyNumberFormat="1" applyFont="1" applyBorder="1"/>
    <xf numFmtId="164" fontId="26" fillId="0" borderId="7" xfId="21" applyNumberFormat="1" applyFont="1" applyFill="1" applyBorder="1"/>
    <xf numFmtId="166" fontId="26" fillId="0" borderId="7" xfId="21" applyNumberFormat="1" applyFont="1" applyFill="1" applyBorder="1"/>
    <xf numFmtId="164" fontId="14" fillId="0" borderId="0" xfId="21" applyNumberFormat="1" applyFont="1" applyFill="1" applyBorder="1"/>
    <xf numFmtId="166" fontId="14" fillId="0" borderId="0" xfId="21" applyNumberFormat="1" applyFont="1" applyFill="1" applyBorder="1"/>
    <xf numFmtId="166" fontId="26" fillId="0" borderId="0" xfId="21" applyNumberFormat="1" applyFont="1"/>
    <xf numFmtId="166" fontId="26" fillId="0" borderId="7" xfId="21" applyNumberFormat="1" applyFont="1" applyBorder="1"/>
    <xf numFmtId="0" fontId="27" fillId="0" borderId="0" xfId="1" applyFont="1"/>
    <xf numFmtId="166" fontId="24" fillId="0" borderId="0" xfId="21" applyNumberFormat="1" applyFont="1" applyFill="1" applyBorder="1"/>
    <xf numFmtId="164" fontId="26" fillId="0" borderId="0" xfId="21" applyNumberFormat="1" applyFont="1" applyFill="1" applyBorder="1"/>
    <xf numFmtId="164" fontId="14" fillId="0" borderId="0" xfId="1" applyNumberFormat="1"/>
    <xf numFmtId="166" fontId="0" fillId="0" borderId="9" xfId="21" applyNumberFormat="1" applyFont="1" applyBorder="1"/>
    <xf numFmtId="164" fontId="21" fillId="0" borderId="9" xfId="21" applyNumberFormat="1" applyFont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4" fontId="21" fillId="0" borderId="0" xfId="19" applyNumberFormat="1" applyFont="1" applyBorder="1"/>
    <xf numFmtId="0" fontId="0" fillId="0" borderId="0" xfId="0" applyBorder="1"/>
    <xf numFmtId="0" fontId="0" fillId="4" borderId="0" xfId="0" applyFill="1"/>
    <xf numFmtId="0" fontId="16" fillId="4" borderId="0" xfId="0" applyFont="1" applyFill="1"/>
    <xf numFmtId="0" fontId="17" fillId="4" borderId="0" xfId="0" applyFont="1" applyFill="1"/>
    <xf numFmtId="166" fontId="21" fillId="0" borderId="0" xfId="20" applyNumberFormat="1" applyFont="1"/>
    <xf numFmtId="166" fontId="0" fillId="0" borderId="0" xfId="20" applyNumberFormat="1" applyFont="1"/>
    <xf numFmtId="164" fontId="21" fillId="0" borderId="0" xfId="19" applyNumberFormat="1" applyFont="1" applyAlignment="1"/>
    <xf numFmtId="164" fontId="0" fillId="0" borderId="0" xfId="0" applyNumberFormat="1" applyFill="1"/>
    <xf numFmtId="0" fontId="21" fillId="0" borderId="0" xfId="0" applyFont="1" applyBorder="1" applyAlignment="1">
      <alignment horizontal="center"/>
    </xf>
    <xf numFmtId="166" fontId="14" fillId="0" borderId="0" xfId="20" applyNumberFormat="1" applyFont="1"/>
    <xf numFmtId="166" fontId="0" fillId="0" borderId="0" xfId="20" applyNumberFormat="1" applyFont="1" applyFill="1"/>
    <xf numFmtId="0" fontId="14" fillId="0" borderId="7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5" fillId="0" borderId="6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3" fontId="17" fillId="0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5" fillId="0" borderId="2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Border="1"/>
    <xf numFmtId="0" fontId="15" fillId="0" borderId="1" xfId="0" applyFont="1" applyFill="1" applyBorder="1" applyAlignment="1">
      <alignment horizontal="left" vertical="center" wrapText="1"/>
    </xf>
    <xf numFmtId="0" fontId="17" fillId="0" borderId="2" xfId="0" applyFont="1" applyBorder="1"/>
    <xf numFmtId="0" fontId="17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1" fillId="0" borderId="0" xfId="0" applyFont="1"/>
    <xf numFmtId="0" fontId="15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wrapText="1"/>
    </xf>
    <xf numFmtId="0" fontId="17" fillId="0" borderId="18" xfId="0" applyFont="1" applyFill="1" applyBorder="1"/>
    <xf numFmtId="9" fontId="17" fillId="0" borderId="1" xfId="0" applyNumberFormat="1" applyFont="1" applyFill="1" applyBorder="1" applyAlignment="1">
      <alignment horizontal="center"/>
    </xf>
    <xf numFmtId="9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9" fontId="17" fillId="0" borderId="2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2" xfId="0" applyFont="1" applyBorder="1"/>
    <xf numFmtId="0" fontId="17" fillId="0" borderId="6" xfId="0" applyFont="1" applyBorder="1" applyAlignment="1">
      <alignment horizontal="center"/>
    </xf>
    <xf numFmtId="0" fontId="15" fillId="0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7" fillId="0" borderId="0" xfId="0" applyFont="1" applyAlignment="1"/>
    <xf numFmtId="0" fontId="15" fillId="0" borderId="2" xfId="0" applyFont="1" applyFill="1" applyBorder="1" applyAlignment="1">
      <alignment wrapText="1"/>
    </xf>
    <xf numFmtId="3" fontId="17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17" fillId="0" borderId="1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wrapText="1"/>
    </xf>
    <xf numFmtId="0" fontId="15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" xfId="0" applyFont="1" applyFill="1" applyBorder="1"/>
    <xf numFmtId="3" fontId="14" fillId="0" borderId="20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14" fillId="0" borderId="3" xfId="0" applyFont="1" applyBorder="1"/>
    <xf numFmtId="3" fontId="0" fillId="0" borderId="3" xfId="0" applyNumberForma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21" xfId="0" applyFont="1" applyBorder="1"/>
    <xf numFmtId="0" fontId="1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5" fillId="2" borderId="16" xfId="0" applyFont="1" applyFill="1" applyBorder="1" applyAlignment="1"/>
    <xf numFmtId="0" fontId="15" fillId="2" borderId="13" xfId="0" applyFont="1" applyFill="1" applyBorder="1" applyAlignment="1"/>
    <xf numFmtId="0" fontId="15" fillId="2" borderId="17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7" fillId="0" borderId="5" xfId="0" applyFont="1" applyFill="1" applyBorder="1"/>
    <xf numFmtId="0" fontId="17" fillId="0" borderId="5" xfId="0" applyFont="1" applyFill="1" applyBorder="1" applyAlignment="1">
      <alignment wrapText="1"/>
    </xf>
    <xf numFmtId="0" fontId="17" fillId="0" borderId="5" xfId="0" applyFont="1" applyBorder="1"/>
    <xf numFmtId="0" fontId="15" fillId="0" borderId="5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22" xfId="0" applyFont="1" applyBorder="1"/>
    <xf numFmtId="0" fontId="17" fillId="0" borderId="21" xfId="0" applyFont="1" applyBorder="1"/>
    <xf numFmtId="0" fontId="15" fillId="0" borderId="12" xfId="0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3" fontId="17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21" fillId="4" borderId="0" xfId="0" applyFont="1" applyFill="1"/>
    <xf numFmtId="3" fontId="0" fillId="0" borderId="1" xfId="0" applyNumberForma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4" fillId="3" borderId="0" xfId="0" applyFont="1" applyFill="1"/>
    <xf numFmtId="3" fontId="0" fillId="0" borderId="2" xfId="0" applyNumberFormat="1" applyBorder="1" applyAlignment="1">
      <alignment horizontal="center"/>
    </xf>
    <xf numFmtId="0" fontId="24" fillId="0" borderId="4" xfId="0" applyFont="1" applyFill="1" applyBorder="1" applyAlignment="1">
      <alignment horizontal="left" vertical="center" wrapText="1"/>
    </xf>
    <xf numFmtId="0" fontId="14" fillId="0" borderId="4" xfId="0" applyFont="1" applyBorder="1"/>
    <xf numFmtId="0" fontId="17" fillId="0" borderId="4" xfId="0" applyFont="1" applyBorder="1"/>
    <xf numFmtId="0" fontId="17" fillId="0" borderId="15" xfId="0" applyFont="1" applyBorder="1"/>
    <xf numFmtId="1" fontId="17" fillId="0" borderId="2" xfId="0" applyNumberFormat="1" applyFont="1" applyFill="1" applyBorder="1" applyAlignment="1">
      <alignment horizontal="center"/>
    </xf>
    <xf numFmtId="0" fontId="15" fillId="2" borderId="12" xfId="0" applyFont="1" applyFill="1" applyBorder="1" applyAlignment="1"/>
    <xf numFmtId="0" fontId="15" fillId="2" borderId="4" xfId="0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167" fontId="24" fillId="0" borderId="2" xfId="21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167" fontId="24" fillId="0" borderId="3" xfId="21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Fill="1" applyBorder="1"/>
    <xf numFmtId="0" fontId="14" fillId="0" borderId="5" xfId="0" applyFont="1" applyBorder="1"/>
    <xf numFmtId="0" fontId="0" fillId="0" borderId="2" xfId="0" applyFill="1" applyBorder="1"/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1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0" xfId="0" applyFont="1" applyBorder="1"/>
    <xf numFmtId="0" fontId="14" fillId="0" borderId="3" xfId="0" applyFont="1" applyFill="1" applyBorder="1" applyAlignment="1">
      <alignment horizontal="center"/>
    </xf>
    <xf numFmtId="0" fontId="0" fillId="0" borderId="32" xfId="0" applyBorder="1"/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/>
    <xf numFmtId="6" fontId="17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6" fontId="17" fillId="0" borderId="4" xfId="0" applyNumberFormat="1" applyFont="1" applyFill="1" applyBorder="1" applyAlignment="1">
      <alignment horizontal="center" vertical="center"/>
    </xf>
    <xf numFmtId="3" fontId="17" fillId="0" borderId="2" xfId="21" applyNumberFormat="1" applyFont="1" applyBorder="1" applyAlignment="1">
      <alignment horizontal="center"/>
    </xf>
    <xf numFmtId="0" fontId="14" fillId="0" borderId="3" xfId="0" applyFont="1" applyFill="1" applyBorder="1"/>
    <xf numFmtId="6" fontId="14" fillId="0" borderId="4" xfId="1" applyNumberFormat="1" applyFill="1" applyBorder="1" applyAlignment="1">
      <alignment horizontal="center"/>
    </xf>
    <xf numFmtId="6" fontId="17" fillId="0" borderId="4" xfId="1" applyNumberFormat="1" applyFont="1" applyFill="1" applyBorder="1" applyAlignment="1">
      <alignment horizontal="center"/>
    </xf>
    <xf numFmtId="164" fontId="14" fillId="0" borderId="0" xfId="19" applyNumberFormat="1" applyFont="1" applyAlignment="1">
      <alignment vertical="center"/>
    </xf>
    <xf numFmtId="3" fontId="14" fillId="0" borderId="0" xfId="0" applyNumberFormat="1" applyFont="1"/>
    <xf numFmtId="9" fontId="24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" fontId="14" fillId="0" borderId="0" xfId="0" applyNumberFormat="1" applyFont="1"/>
    <xf numFmtId="164" fontId="21" fillId="0" borderId="0" xfId="19" applyNumberFormat="1" applyFont="1" applyAlignment="1">
      <alignment wrapText="1"/>
    </xf>
    <xf numFmtId="164" fontId="21" fillId="0" borderId="0" xfId="0" applyNumberFormat="1" applyFont="1" applyAlignment="1"/>
    <xf numFmtId="164" fontId="14" fillId="0" borderId="0" xfId="19" applyNumberFormat="1" applyFont="1" applyFill="1" applyBorder="1"/>
    <xf numFmtId="0" fontId="7" fillId="0" borderId="34" xfId="23" applyBorder="1"/>
    <xf numFmtId="0" fontId="15" fillId="3" borderId="34" xfId="23" applyFont="1" applyFill="1" applyBorder="1"/>
    <xf numFmtId="0" fontId="7" fillId="0" borderId="0" xfId="23"/>
    <xf numFmtId="0" fontId="7" fillId="0" borderId="34" xfId="23" applyFill="1" applyBorder="1"/>
    <xf numFmtId="0" fontId="23" fillId="0" borderId="0" xfId="0" applyFont="1" applyAlignment="1">
      <alignment horizontal="center"/>
    </xf>
    <xf numFmtId="43" fontId="0" fillId="0" borderId="0" xfId="19" applyNumberFormat="1" applyFont="1"/>
    <xf numFmtId="2" fontId="0" fillId="0" borderId="0" xfId="0" applyNumberFormat="1"/>
    <xf numFmtId="2" fontId="21" fillId="0" borderId="0" xfId="0" applyNumberFormat="1" applyFont="1"/>
    <xf numFmtId="2" fontId="14" fillId="0" borderId="0" xfId="0" applyNumberFormat="1" applyFont="1"/>
    <xf numFmtId="43" fontId="14" fillId="0" borderId="0" xfId="19" applyFont="1"/>
    <xf numFmtId="43" fontId="21" fillId="0" borderId="9" xfId="19" applyNumberFormat="1" applyFont="1" applyBorder="1"/>
    <xf numFmtId="43" fontId="14" fillId="0" borderId="0" xfId="19" applyFont="1" applyFill="1"/>
    <xf numFmtId="2" fontId="17" fillId="0" borderId="2" xfId="0" applyNumberFormat="1" applyFont="1" applyFill="1" applyBorder="1" applyAlignment="1">
      <alignment horizontal="center"/>
    </xf>
    <xf numFmtId="39" fontId="17" fillId="0" borderId="2" xfId="0" applyNumberFormat="1" applyFont="1" applyFill="1" applyBorder="1" applyAlignment="1">
      <alignment horizontal="center"/>
    </xf>
    <xf numFmtId="39" fontId="17" fillId="0" borderId="5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39" fontId="14" fillId="0" borderId="2" xfId="0" applyNumberFormat="1" applyFont="1" applyFill="1" applyBorder="1" applyAlignment="1">
      <alignment horizontal="center"/>
    </xf>
    <xf numFmtId="39" fontId="14" fillId="0" borderId="3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center"/>
    </xf>
    <xf numFmtId="39" fontId="17" fillId="0" borderId="3" xfId="0" applyNumberFormat="1" applyFont="1" applyFill="1" applyBorder="1" applyAlignment="1">
      <alignment horizontal="center"/>
    </xf>
    <xf numFmtId="39" fontId="17" fillId="0" borderId="1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/>
    </xf>
    <xf numFmtId="39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/>
    </xf>
    <xf numFmtId="43" fontId="21" fillId="0" borderId="0" xfId="19" applyFont="1" applyFill="1"/>
    <xf numFmtId="166" fontId="21" fillId="0" borderId="0" xfId="20" applyNumberFormat="1" applyFont="1" applyFill="1"/>
    <xf numFmtId="0" fontId="17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43" fontId="14" fillId="0" borderId="0" xfId="19" applyFont="1" applyFill="1" applyBorder="1"/>
    <xf numFmtId="2" fontId="21" fillId="0" borderId="0" xfId="0" applyNumberFormat="1" applyFont="1" applyFill="1" applyAlignment="1"/>
    <xf numFmtId="9" fontId="14" fillId="0" borderId="0" xfId="20" applyFont="1" applyFill="1"/>
    <xf numFmtId="164" fontId="14" fillId="0" borderId="0" xfId="19" applyNumberFormat="1" applyFont="1" applyFill="1" applyAlignment="1">
      <alignment horizontal="center"/>
    </xf>
    <xf numFmtId="9" fontId="21" fillId="0" borderId="0" xfId="20" applyFont="1" applyFill="1"/>
    <xf numFmtId="0" fontId="35" fillId="0" borderId="0" xfId="0" applyFont="1"/>
    <xf numFmtId="0" fontId="3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1" fillId="6" borderId="34" xfId="0" applyFont="1" applyFill="1" applyBorder="1" applyAlignment="1"/>
    <xf numFmtId="0" fontId="15" fillId="2" borderId="34" xfId="0" applyFont="1" applyFill="1" applyBorder="1" applyAlignment="1"/>
    <xf numFmtId="0" fontId="15" fillId="2" borderId="34" xfId="0" applyFont="1" applyFill="1" applyBorder="1" applyAlignment="1">
      <alignment horizontal="left"/>
    </xf>
    <xf numFmtId="0" fontId="16" fillId="7" borderId="34" xfId="0" applyFont="1" applyFill="1" applyBorder="1" applyAlignment="1">
      <alignment horizontal="left" vertical="center"/>
    </xf>
    <xf numFmtId="0" fontId="21" fillId="7" borderId="34" xfId="0" applyFont="1" applyFill="1" applyBorder="1" applyAlignment="1"/>
    <xf numFmtId="0" fontId="17" fillId="3" borderId="34" xfId="0" applyFont="1" applyFill="1" applyBorder="1" applyAlignment="1"/>
    <xf numFmtId="0" fontId="14" fillId="3" borderId="34" xfId="0" applyFont="1" applyFill="1" applyBorder="1" applyAlignment="1"/>
    <xf numFmtId="0" fontId="17" fillId="3" borderId="34" xfId="0" applyFont="1" applyFill="1" applyBorder="1" applyAlignment="1">
      <alignment horizontal="left" vertical="center"/>
    </xf>
    <xf numFmtId="0" fontId="16" fillId="7" borderId="34" xfId="0" applyFont="1" applyFill="1" applyBorder="1" applyAlignment="1"/>
    <xf numFmtId="0" fontId="16" fillId="7" borderId="34" xfId="0" applyFont="1" applyFill="1" applyBorder="1" applyAlignment="1">
      <alignment vertical="top"/>
    </xf>
    <xf numFmtId="0" fontId="17" fillId="8" borderId="34" xfId="0" applyFont="1" applyFill="1" applyBorder="1" applyAlignment="1">
      <alignment horizontal="left" vertical="center"/>
    </xf>
    <xf numFmtId="0" fontId="17" fillId="8" borderId="34" xfId="0" applyFont="1" applyFill="1" applyBorder="1" applyAlignment="1">
      <alignment horizontal="left" vertical="top"/>
    </xf>
    <xf numFmtId="0" fontId="14" fillId="8" borderId="34" xfId="0" applyFont="1" applyFill="1" applyBorder="1" applyAlignment="1"/>
    <xf numFmtId="0" fontId="16" fillId="7" borderId="34" xfId="0" applyFont="1" applyFill="1" applyBorder="1" applyAlignment="1">
      <alignment horizontal="left" vertical="top"/>
    </xf>
    <xf numFmtId="0" fontId="17" fillId="9" borderId="34" xfId="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vertical="top"/>
    </xf>
    <xf numFmtId="0" fontId="21" fillId="7" borderId="34" xfId="0" applyFont="1" applyFill="1" applyBorder="1" applyAlignment="1">
      <alignment horizontal="left" vertical="center"/>
    </xf>
    <xf numFmtId="0" fontId="17" fillId="10" borderId="34" xfId="0" applyFont="1" applyFill="1" applyBorder="1" applyAlignment="1">
      <alignment horizontal="left" vertical="center"/>
    </xf>
    <xf numFmtId="0" fontId="17" fillId="11" borderId="34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14" fillId="7" borderId="0" xfId="0" applyFont="1" applyFill="1"/>
    <xf numFmtId="3" fontId="14" fillId="3" borderId="34" xfId="0" applyNumberFormat="1" applyFont="1" applyFill="1" applyBorder="1" applyAlignment="1">
      <alignment horizontal="left"/>
    </xf>
    <xf numFmtId="0" fontId="17" fillId="3" borderId="34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14" fillId="7" borderId="3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7" borderId="34" xfId="0" applyFont="1" applyFill="1" applyBorder="1" applyAlignment="1">
      <alignment horizontal="left"/>
    </xf>
    <xf numFmtId="3" fontId="21" fillId="7" borderId="34" xfId="0" applyNumberFormat="1" applyFont="1" applyFill="1" applyBorder="1" applyAlignment="1">
      <alignment horizontal="left"/>
    </xf>
    <xf numFmtId="3" fontId="21" fillId="7" borderId="34" xfId="0" applyNumberFormat="1" applyFont="1" applyFill="1" applyBorder="1" applyAlignment="1">
      <alignment horizontal="left" vertical="center"/>
    </xf>
    <xf numFmtId="9" fontId="21" fillId="7" borderId="34" xfId="0" applyNumberFormat="1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wrapText="1"/>
    </xf>
    <xf numFmtId="4" fontId="21" fillId="7" borderId="34" xfId="0" applyNumberFormat="1" applyFont="1" applyFill="1" applyBorder="1" applyAlignment="1">
      <alignment horizontal="left"/>
    </xf>
    <xf numFmtId="0" fontId="21" fillId="3" borderId="34" xfId="0" applyFont="1" applyFill="1" applyBorder="1" applyAlignment="1"/>
    <xf numFmtId="0" fontId="16" fillId="3" borderId="34" xfId="0" applyFont="1" applyFill="1" applyBorder="1" applyAlignment="1">
      <alignment horizontal="left"/>
    </xf>
    <xf numFmtId="0" fontId="17" fillId="3" borderId="34" xfId="0" applyFont="1" applyFill="1" applyBorder="1" applyAlignment="1">
      <alignment horizontal="left"/>
    </xf>
    <xf numFmtId="4" fontId="14" fillId="3" borderId="34" xfId="0" applyNumberFormat="1" applyFont="1" applyFill="1" applyBorder="1" applyAlignment="1">
      <alignment horizontal="left"/>
    </xf>
    <xf numFmtId="0" fontId="17" fillId="8" borderId="34" xfId="0" applyFont="1" applyFill="1" applyBorder="1" applyAlignment="1">
      <alignment horizontal="left"/>
    </xf>
    <xf numFmtId="0" fontId="14" fillId="8" borderId="34" xfId="0" applyFont="1" applyFill="1" applyBorder="1" applyAlignment="1">
      <alignment horizontal="left"/>
    </xf>
    <xf numFmtId="0" fontId="14" fillId="8" borderId="0" xfId="0" applyFont="1" applyFill="1"/>
    <xf numFmtId="0" fontId="14" fillId="8" borderId="34" xfId="0" applyFont="1" applyFill="1" applyBorder="1" applyAlignment="1">
      <alignment horizontal="left" vertical="center"/>
    </xf>
    <xf numFmtId="3" fontId="14" fillId="3" borderId="34" xfId="0" applyNumberFormat="1" applyFont="1" applyFill="1" applyBorder="1" applyAlignment="1">
      <alignment horizontal="left" vertical="center"/>
    </xf>
    <xf numFmtId="39" fontId="21" fillId="7" borderId="34" xfId="0" applyNumberFormat="1" applyFont="1" applyFill="1" applyBorder="1" applyAlignment="1">
      <alignment horizontal="left" vertical="center"/>
    </xf>
    <xf numFmtId="39" fontId="14" fillId="8" borderId="34" xfId="0" applyNumberFormat="1" applyFont="1" applyFill="1" applyBorder="1" applyAlignment="1">
      <alignment horizontal="left" vertical="center"/>
    </xf>
    <xf numFmtId="9" fontId="21" fillId="7" borderId="34" xfId="20" applyFont="1" applyFill="1" applyBorder="1" applyAlignment="1">
      <alignment horizontal="left" vertical="center"/>
    </xf>
    <xf numFmtId="9" fontId="14" fillId="8" borderId="34" xfId="2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horizontal="left" vertical="top"/>
    </xf>
    <xf numFmtId="9" fontId="17" fillId="10" borderId="34" xfId="20" applyFont="1" applyFill="1" applyBorder="1" applyAlignment="1">
      <alignment horizontal="left" vertical="center"/>
    </xf>
    <xf numFmtId="166" fontId="21" fillId="7" borderId="34" xfId="20" applyNumberFormat="1" applyFont="1" applyFill="1" applyBorder="1" applyAlignment="1">
      <alignment horizontal="left"/>
    </xf>
    <xf numFmtId="166" fontId="17" fillId="11" borderId="34" xfId="2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9" fontId="21" fillId="0" borderId="0" xfId="20" applyFont="1" applyAlignment="1">
      <alignment vertical="center"/>
    </xf>
    <xf numFmtId="1" fontId="21" fillId="7" borderId="34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9" fontId="17" fillId="0" borderId="2" xfId="20" applyFont="1" applyFill="1" applyBorder="1" applyAlignment="1">
      <alignment horizontal="center"/>
    </xf>
    <xf numFmtId="9" fontId="17" fillId="0" borderId="3" xfId="2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39" fontId="17" fillId="0" borderId="2" xfId="0" applyNumberFormat="1" applyFont="1" applyFill="1" applyBorder="1" applyAlignment="1">
      <alignment horizontal="center" vertical="center"/>
    </xf>
    <xf numFmtId="9" fontId="17" fillId="0" borderId="2" xfId="20" applyFont="1" applyBorder="1" applyAlignment="1">
      <alignment horizontal="center"/>
    </xf>
    <xf numFmtId="0" fontId="17" fillId="0" borderId="3" xfId="0" applyFont="1" applyBorder="1" applyAlignment="1">
      <alignment vertical="center" wrapText="1"/>
    </xf>
    <xf numFmtId="9" fontId="17" fillId="0" borderId="3" xfId="2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9" fontId="14" fillId="0" borderId="2" xfId="2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6" fontId="24" fillId="0" borderId="4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9" fontId="24" fillId="0" borderId="22" xfId="2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1" xfId="0" applyFont="1" applyFill="1" applyBorder="1" applyAlignment="1"/>
    <xf numFmtId="0" fontId="24" fillId="0" borderId="27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9" fontId="24" fillId="0" borderId="5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22" xfId="0" applyFont="1" applyBorder="1"/>
    <xf numFmtId="6" fontId="14" fillId="0" borderId="3" xfId="1" applyNumberFormat="1" applyFont="1" applyFill="1" applyBorder="1" applyAlignment="1">
      <alignment horizontal="center"/>
    </xf>
    <xf numFmtId="0" fontId="14" fillId="0" borderId="26" xfId="0" applyFont="1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9" fontId="14" fillId="0" borderId="1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4" xfId="0" applyFont="1" applyBorder="1"/>
    <xf numFmtId="6" fontId="14" fillId="0" borderId="4" xfId="1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164" fontId="14" fillId="3" borderId="34" xfId="19" applyNumberFormat="1" applyFont="1" applyFill="1" applyBorder="1" applyAlignment="1">
      <alignment horizontal="left"/>
    </xf>
    <xf numFmtId="3" fontId="14" fillId="8" borderId="34" xfId="0" applyNumberFormat="1" applyFont="1" applyFill="1" applyBorder="1" applyAlignment="1">
      <alignment horizontal="left" vertical="center"/>
    </xf>
    <xf numFmtId="9" fontId="17" fillId="10" borderId="34" xfId="0" applyNumberFormat="1" applyFont="1" applyFill="1" applyBorder="1" applyAlignment="1">
      <alignment horizontal="left" vertical="center"/>
    </xf>
    <xf numFmtId="164" fontId="14" fillId="3" borderId="34" xfId="0" applyNumberFormat="1" applyFont="1" applyFill="1" applyBorder="1" applyAlignment="1">
      <alignment horizontal="left"/>
    </xf>
    <xf numFmtId="9" fontId="14" fillId="8" borderId="34" xfId="0" applyNumberFormat="1" applyFont="1" applyFill="1" applyBorder="1" applyAlignment="1">
      <alignment horizontal="left" vertical="center"/>
    </xf>
    <xf numFmtId="9" fontId="14" fillId="8" borderId="34" xfId="0" applyNumberFormat="1" applyFont="1" applyFill="1" applyBorder="1" applyAlignment="1">
      <alignment horizontal="left"/>
    </xf>
    <xf numFmtId="1" fontId="17" fillId="9" borderId="34" xfId="0" applyNumberFormat="1" applyFont="1" applyFill="1" applyBorder="1" applyAlignment="1">
      <alignment horizontal="left" vertical="center"/>
    </xf>
    <xf numFmtId="164" fontId="14" fillId="3" borderId="34" xfId="19" applyNumberFormat="1" applyFont="1" applyFill="1" applyBorder="1" applyAlignment="1">
      <alignment horizontal="left" vertical="center"/>
    </xf>
    <xf numFmtId="3" fontId="14" fillId="3" borderId="34" xfId="0" applyNumberFormat="1" applyFont="1" applyFill="1" applyBorder="1" applyAlignment="1"/>
    <xf numFmtId="9" fontId="14" fillId="3" borderId="34" xfId="0" applyNumberFormat="1" applyFont="1" applyFill="1" applyBorder="1" applyAlignment="1">
      <alignment horizontal="left"/>
    </xf>
    <xf numFmtId="43" fontId="14" fillId="8" borderId="34" xfId="0" applyNumberFormat="1" applyFont="1" applyFill="1" applyBorder="1" applyAlignment="1">
      <alignment horizontal="left"/>
    </xf>
    <xf numFmtId="2" fontId="14" fillId="3" borderId="34" xfId="0" applyNumberFormat="1" applyFont="1" applyFill="1" applyBorder="1" applyAlignment="1">
      <alignment horizontal="left"/>
    </xf>
    <xf numFmtId="164" fontId="14" fillId="8" borderId="34" xfId="19" applyNumberFormat="1" applyFont="1" applyFill="1" applyBorder="1" applyAlignment="1">
      <alignment horizontal="left" vertical="center"/>
    </xf>
    <xf numFmtId="164" fontId="14" fillId="8" borderId="34" xfId="19" applyNumberFormat="1" applyFont="1" applyFill="1" applyBorder="1" applyAlignment="1">
      <alignment horizontal="left"/>
    </xf>
    <xf numFmtId="39" fontId="14" fillId="8" borderId="34" xfId="19" applyNumberFormat="1" applyFont="1" applyFill="1" applyBorder="1" applyAlignment="1">
      <alignment horizontal="left" vertical="center"/>
    </xf>
    <xf numFmtId="1" fontId="14" fillId="8" borderId="34" xfId="0" applyNumberFormat="1" applyFont="1" applyFill="1" applyBorder="1" applyAlignment="1">
      <alignment horizontal="left" vertical="center"/>
    </xf>
    <xf numFmtId="0" fontId="14" fillId="3" borderId="0" xfId="0" applyFont="1" applyFill="1" applyBorder="1"/>
    <xf numFmtId="0" fontId="14" fillId="8" borderId="0" xfId="0" applyFont="1" applyFill="1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14" borderId="0" xfId="0" applyFill="1"/>
    <xf numFmtId="0" fontId="17" fillId="14" borderId="0" xfId="0" applyFont="1" applyFill="1"/>
    <xf numFmtId="0" fontId="15" fillId="15" borderId="4" xfId="0" applyFont="1" applyFill="1" applyBorder="1" applyAlignment="1">
      <alignment horizont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wrapText="1"/>
    </xf>
    <xf numFmtId="0" fontId="16" fillId="14" borderId="3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wrapText="1"/>
    </xf>
    <xf numFmtId="0" fontId="16" fillId="14" borderId="1" xfId="0" applyFont="1" applyFill="1" applyBorder="1" applyAlignment="1">
      <alignment horizontal="center" wrapText="1"/>
    </xf>
    <xf numFmtId="0" fontId="15" fillId="1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7" fillId="4" borderId="0" xfId="0" applyFont="1" applyFill="1" applyAlignment="1">
      <alignment horizontal="left"/>
    </xf>
    <xf numFmtId="0" fontId="17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0" fillId="0" borderId="7" xfId="19" applyNumberFormat="1" applyFont="1" applyFill="1" applyBorder="1"/>
    <xf numFmtId="164" fontId="21" fillId="0" borderId="0" xfId="0" applyNumberFormat="1" applyFont="1" applyFill="1"/>
    <xf numFmtId="164" fontId="21" fillId="0" borderId="9" xfId="0" applyNumberFormat="1" applyFont="1" applyFill="1" applyBorder="1"/>
    <xf numFmtId="164" fontId="21" fillId="0" borderId="8" xfId="0" applyNumberFormat="1" applyFont="1" applyFill="1" applyBorder="1"/>
    <xf numFmtId="164" fontId="21" fillId="0" borderId="0" xfId="19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164" fontId="6" fillId="0" borderId="0" xfId="19" applyNumberFormat="1" applyFont="1" applyFill="1"/>
    <xf numFmtId="164" fontId="6" fillId="0" borderId="7" xfId="19" applyNumberFormat="1" applyFont="1" applyFill="1" applyBorder="1"/>
    <xf numFmtId="0" fontId="14" fillId="0" borderId="8" xfId="0" applyFont="1" applyFill="1" applyBorder="1" applyAlignment="1">
      <alignment horizontal="center" wrapText="1"/>
    </xf>
    <xf numFmtId="164" fontId="14" fillId="0" borderId="0" xfId="0" applyNumberFormat="1" applyFont="1" applyFill="1"/>
    <xf numFmtId="164" fontId="14" fillId="0" borderId="7" xfId="0" applyNumberFormat="1" applyFont="1" applyFill="1" applyBorder="1"/>
    <xf numFmtId="164" fontId="14" fillId="0" borderId="0" xfId="19" applyNumberFormat="1" applyFont="1" applyFill="1" applyBorder="1" applyAlignment="1">
      <alignment horizontal="center" wrapText="1"/>
    </xf>
    <xf numFmtId="164" fontId="14" fillId="0" borderId="7" xfId="19" applyNumberFormat="1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/>
    </xf>
    <xf numFmtId="43" fontId="21" fillId="0" borderId="0" xfId="19" applyFont="1" applyAlignment="1"/>
    <xf numFmtId="0" fontId="15" fillId="0" borderId="0" xfId="0" applyFont="1" applyFill="1"/>
    <xf numFmtId="0" fontId="14" fillId="0" borderId="0" xfId="0" applyFont="1" applyAlignment="1">
      <alignment horizontal="right"/>
    </xf>
    <xf numFmtId="14" fontId="0" fillId="0" borderId="0" xfId="0" applyNumberFormat="1" applyFill="1"/>
    <xf numFmtId="0" fontId="14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6" fillId="0" borderId="0" xfId="24" applyFont="1" applyFill="1"/>
    <xf numFmtId="0" fontId="26" fillId="0" borderId="0" xfId="0" applyFont="1"/>
    <xf numFmtId="0" fontId="26" fillId="3" borderId="0" xfId="0" applyFont="1" applyFill="1"/>
    <xf numFmtId="0" fontId="26" fillId="0" borderId="7" xfId="24" applyFont="1" applyFill="1" applyBorder="1"/>
    <xf numFmtId="0" fontId="26" fillId="0" borderId="0" xfId="0" applyFont="1" applyFill="1"/>
    <xf numFmtId="0" fontId="26" fillId="0" borderId="0" xfId="24" applyFont="1" applyFill="1" applyBorder="1"/>
    <xf numFmtId="0" fontId="14" fillId="0" borderId="33" xfId="0" applyFont="1" applyFill="1" applyBorder="1"/>
    <xf numFmtId="166" fontId="0" fillId="0" borderId="0" xfId="0" applyNumberFormat="1"/>
    <xf numFmtId="164" fontId="21" fillId="0" borderId="9" xfId="0" applyNumberFormat="1" applyFont="1" applyBorder="1"/>
    <xf numFmtId="0" fontId="14" fillId="13" borderId="0" xfId="0" applyFont="1" applyFill="1"/>
    <xf numFmtId="164" fontId="21" fillId="0" borderId="10" xfId="0" applyNumberFormat="1" applyFont="1" applyBorder="1"/>
    <xf numFmtId="0" fontId="21" fillId="3" borderId="0" xfId="0" applyFont="1" applyFill="1"/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164" fontId="0" fillId="3" borderId="0" xfId="21" applyNumberFormat="1" applyFont="1" applyFill="1"/>
    <xf numFmtId="166" fontId="0" fillId="3" borderId="0" xfId="21" applyNumberFormat="1" applyFont="1" applyFill="1"/>
    <xf numFmtId="164" fontId="0" fillId="3" borderId="33" xfId="21" applyNumberFormat="1" applyFont="1" applyFill="1" applyBorder="1"/>
    <xf numFmtId="164" fontId="0" fillId="3" borderId="0" xfId="21" applyNumberFormat="1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3" fillId="0" borderId="34" xfId="25" applyBorder="1" applyAlignment="1">
      <alignment horizontal="center" vertical="center"/>
    </xf>
    <xf numFmtId="0" fontId="3" fillId="0" borderId="34" xfId="25" applyBorder="1" applyAlignment="1">
      <alignment vertical="center"/>
    </xf>
    <xf numFmtId="0" fontId="3" fillId="0" borderId="34" xfId="25" applyBorder="1" applyAlignment="1">
      <alignment horizontal="left" vertical="center"/>
    </xf>
    <xf numFmtId="0" fontId="3" fillId="0" borderId="35" xfId="25" applyBorder="1" applyAlignment="1">
      <alignment vertical="center"/>
    </xf>
    <xf numFmtId="0" fontId="3" fillId="0" borderId="8" xfId="25" applyBorder="1" applyAlignment="1">
      <alignment vertical="center"/>
    </xf>
    <xf numFmtId="14" fontId="40" fillId="0" borderId="8" xfId="25" applyNumberFormat="1" applyFont="1" applyBorder="1" applyAlignment="1">
      <alignment vertical="center"/>
    </xf>
    <xf numFmtId="14" fontId="40" fillId="0" borderId="8" xfId="25" applyNumberFormat="1" applyFont="1" applyBorder="1" applyAlignment="1">
      <alignment horizontal="center" vertical="center"/>
    </xf>
    <xf numFmtId="0" fontId="3" fillId="16" borderId="31" xfId="25" applyFill="1" applyBorder="1" applyAlignment="1">
      <alignment horizontal="center" vertical="center"/>
    </xf>
    <xf numFmtId="0" fontId="3" fillId="0" borderId="36" xfId="25" applyBorder="1" applyAlignment="1">
      <alignment horizontal="center" vertical="center"/>
    </xf>
    <xf numFmtId="0" fontId="3" fillId="0" borderId="8" xfId="25" applyBorder="1" applyAlignment="1">
      <alignment horizontal="center" vertical="center"/>
    </xf>
    <xf numFmtId="164" fontId="0" fillId="0" borderId="34" xfId="26" applyNumberFormat="1" applyFont="1" applyBorder="1" applyAlignment="1">
      <alignment horizontal="center" vertical="center"/>
    </xf>
    <xf numFmtId="14" fontId="41" fillId="0" borderId="34" xfId="25" applyNumberFormat="1" applyFont="1" applyBorder="1" applyAlignment="1">
      <alignment horizontal="center" vertical="center"/>
    </xf>
    <xf numFmtId="0" fontId="15" fillId="0" borderId="34" xfId="25" applyFont="1" applyBorder="1" applyAlignment="1">
      <alignment horizontal="left" vertical="center"/>
    </xf>
    <xf numFmtId="0" fontId="15" fillId="0" borderId="35" xfId="25" applyFont="1" applyBorder="1" applyAlignment="1">
      <alignment vertical="center"/>
    </xf>
    <xf numFmtId="0" fontId="15" fillId="0" borderId="8" xfId="25" applyFont="1" applyBorder="1" applyAlignment="1">
      <alignment vertical="center"/>
    </xf>
    <xf numFmtId="0" fontId="15" fillId="0" borderId="8" xfId="25" applyFont="1" applyBorder="1" applyAlignment="1">
      <alignment horizontal="center" vertical="center"/>
    </xf>
    <xf numFmtId="0" fontId="15" fillId="16" borderId="32" xfId="25" applyFont="1" applyFill="1" applyBorder="1" applyAlignment="1">
      <alignment horizontal="center" vertical="center"/>
    </xf>
    <xf numFmtId="164" fontId="15" fillId="0" borderId="8" xfId="26" applyNumberFormat="1" applyFont="1" applyBorder="1" applyAlignment="1">
      <alignment horizontal="center" vertical="center"/>
    </xf>
    <xf numFmtId="164" fontId="15" fillId="0" borderId="36" xfId="26" applyNumberFormat="1" applyFont="1" applyBorder="1" applyAlignment="1">
      <alignment horizontal="center" vertical="center"/>
    </xf>
    <xf numFmtId="0" fontId="15" fillId="0" borderId="34" xfId="25" applyFont="1" applyBorder="1" applyAlignment="1">
      <alignment vertical="center"/>
    </xf>
    <xf numFmtId="0" fontId="15" fillId="0" borderId="34" xfId="25" applyFont="1" applyBorder="1" applyAlignment="1">
      <alignment horizontal="center" vertical="center"/>
    </xf>
    <xf numFmtId="0" fontId="15" fillId="0" borderId="35" xfId="25" applyFont="1" applyBorder="1" applyAlignment="1">
      <alignment horizontal="center" vertical="center"/>
    </xf>
    <xf numFmtId="0" fontId="15" fillId="0" borderId="34" xfId="25" applyFont="1" applyBorder="1" applyAlignment="1">
      <alignment horizontal="center" vertical="center" wrapText="1"/>
    </xf>
    <xf numFmtId="164" fontId="15" fillId="0" borderId="34" xfId="26" applyNumberFormat="1" applyFont="1" applyBorder="1" applyAlignment="1">
      <alignment horizontal="center" vertical="center"/>
    </xf>
    <xf numFmtId="164" fontId="42" fillId="0" borderId="0" xfId="26" applyNumberFormat="1" applyFont="1" applyBorder="1" applyAlignment="1">
      <alignment horizontal="center" vertical="center" wrapText="1"/>
    </xf>
    <xf numFmtId="0" fontId="3" fillId="0" borderId="34" xfId="25" applyBorder="1" applyAlignment="1">
      <alignment horizontal="center" vertical="center" wrapText="1"/>
    </xf>
    <xf numFmtId="0" fontId="39" fillId="17" borderId="31" xfId="25" applyFont="1" applyFill="1" applyBorder="1" applyAlignment="1">
      <alignment horizontal="center" vertical="center"/>
    </xf>
    <xf numFmtId="0" fontId="39" fillId="17" borderId="31" xfId="25" applyFont="1" applyFill="1" applyBorder="1" applyAlignment="1">
      <alignment vertical="center"/>
    </xf>
    <xf numFmtId="0" fontId="39" fillId="17" borderId="31" xfId="25" applyFont="1" applyFill="1" applyBorder="1" applyAlignment="1">
      <alignment horizontal="left" vertical="center"/>
    </xf>
    <xf numFmtId="0" fontId="37" fillId="17" borderId="31" xfId="25" applyFont="1" applyFill="1" applyBorder="1" applyAlignment="1">
      <alignment horizontal="center" vertical="center"/>
    </xf>
    <xf numFmtId="0" fontId="37" fillId="17" borderId="31" xfId="25" applyFont="1" applyFill="1" applyBorder="1" applyAlignment="1">
      <alignment vertical="center"/>
    </xf>
    <xf numFmtId="0" fontId="39" fillId="17" borderId="37" xfId="25" applyFont="1" applyFill="1" applyBorder="1" applyAlignment="1">
      <alignment horizontal="center" vertical="center"/>
    </xf>
    <xf numFmtId="0" fontId="37" fillId="16" borderId="32" xfId="25" applyFont="1" applyFill="1" applyBorder="1" applyAlignment="1">
      <alignment horizontal="center" vertical="center"/>
    </xf>
    <xf numFmtId="164" fontId="39" fillId="17" borderId="31" xfId="26" applyNumberFormat="1" applyFont="1" applyFill="1" applyBorder="1" applyAlignment="1">
      <alignment horizontal="center" vertical="center"/>
    </xf>
    <xf numFmtId="1" fontId="3" fillId="18" borderId="16" xfId="25" applyNumberFormat="1" applyFill="1" applyBorder="1" applyAlignment="1">
      <alignment horizontal="center" vertical="center"/>
    </xf>
    <xf numFmtId="1" fontId="3" fillId="18" borderId="17" xfId="25" applyNumberFormat="1" applyFill="1" applyBorder="1" applyAlignment="1">
      <alignment horizontal="center" vertical="center"/>
    </xf>
    <xf numFmtId="1" fontId="15" fillId="18" borderId="17" xfId="25" applyNumberFormat="1" applyFont="1" applyFill="1" applyBorder="1" applyAlignment="1">
      <alignment horizontal="left" vertical="center"/>
    </xf>
    <xf numFmtId="1" fontId="15" fillId="18" borderId="17" xfId="25" applyNumberFormat="1" applyFont="1" applyFill="1" applyBorder="1" applyAlignment="1">
      <alignment horizontal="center" vertical="center"/>
    </xf>
    <xf numFmtId="1" fontId="15" fillId="16" borderId="32" xfId="25" applyNumberFormat="1" applyFont="1" applyFill="1" applyBorder="1" applyAlignment="1">
      <alignment horizontal="center" vertical="center"/>
    </xf>
    <xf numFmtId="1" fontId="3" fillId="18" borderId="17" xfId="25" applyNumberFormat="1" applyFill="1" applyBorder="1" applyAlignment="1">
      <alignment horizontal="left" vertical="center"/>
    </xf>
    <xf numFmtId="1" fontId="3" fillId="0" borderId="32" xfId="25" applyNumberFormat="1" applyBorder="1" applyAlignment="1">
      <alignment horizontal="center" vertical="center"/>
    </xf>
    <xf numFmtId="1" fontId="3" fillId="0" borderId="32" xfId="25" applyNumberFormat="1" applyBorder="1" applyAlignment="1">
      <alignment horizontal="left" vertical="center"/>
    </xf>
    <xf numFmtId="1" fontId="15" fillId="0" borderId="32" xfId="25" applyNumberFormat="1" applyFont="1" applyBorder="1" applyAlignment="1">
      <alignment horizontal="center" vertical="center"/>
    </xf>
    <xf numFmtId="1" fontId="3" fillId="0" borderId="38" xfId="25" applyNumberFormat="1" applyBorder="1" applyAlignment="1">
      <alignment horizontal="center" vertical="center"/>
    </xf>
    <xf numFmtId="1" fontId="3" fillId="16" borderId="32" xfId="25" applyNumberFormat="1" applyFill="1" applyBorder="1" applyAlignment="1">
      <alignment horizontal="center" vertical="center"/>
    </xf>
    <xf numFmtId="1" fontId="0" fillId="0" borderId="32" xfId="26" applyNumberFormat="1" applyFont="1" applyBorder="1" applyAlignment="1">
      <alignment horizontal="center" vertical="center"/>
    </xf>
    <xf numFmtId="1" fontId="15" fillId="19" borderId="16" xfId="25" applyNumberFormat="1" applyFont="1" applyFill="1" applyBorder="1" applyAlignment="1">
      <alignment horizontal="center" vertical="center"/>
    </xf>
    <xf numFmtId="1" fontId="15" fillId="19" borderId="17" xfId="25" applyNumberFormat="1" applyFont="1" applyFill="1" applyBorder="1" applyAlignment="1">
      <alignment horizontal="center" vertical="center"/>
    </xf>
    <xf numFmtId="1" fontId="15" fillId="19" borderId="17" xfId="25" applyNumberFormat="1" applyFont="1" applyFill="1" applyBorder="1" applyAlignment="1">
      <alignment horizontal="left" vertical="center"/>
    </xf>
    <xf numFmtId="1" fontId="15" fillId="19" borderId="17" xfId="26" applyNumberFormat="1" applyFont="1" applyFill="1" applyBorder="1" applyAlignment="1">
      <alignment horizontal="center" vertical="center"/>
    </xf>
    <xf numFmtId="1" fontId="15" fillId="16" borderId="32" xfId="26" applyNumberFormat="1" applyFont="1" applyFill="1" applyBorder="1" applyAlignment="1">
      <alignment horizontal="center" vertical="center"/>
    </xf>
    <xf numFmtId="1" fontId="3" fillId="0" borderId="39" xfId="25" applyNumberFormat="1" applyBorder="1" applyAlignment="1">
      <alignment horizontal="center" vertical="center"/>
    </xf>
    <xf numFmtId="1" fontId="3" fillId="0" borderId="39" xfId="25" applyNumberFormat="1" applyBorder="1" applyAlignment="1">
      <alignment horizontal="left" vertical="center"/>
    </xf>
    <xf numFmtId="1" fontId="0" fillId="0" borderId="39" xfId="26" applyNumberFormat="1" applyFont="1" applyBorder="1" applyAlignment="1">
      <alignment horizontal="center" vertical="center"/>
    </xf>
    <xf numFmtId="1" fontId="3" fillId="0" borderId="39" xfId="25" applyNumberFormat="1" applyFill="1" applyBorder="1" applyAlignment="1">
      <alignment horizontal="center" vertical="center"/>
    </xf>
    <xf numFmtId="1" fontId="3" fillId="0" borderId="32" xfId="25" applyNumberFormat="1" applyFill="1" applyBorder="1" applyAlignment="1">
      <alignment horizontal="center" vertical="center"/>
    </xf>
    <xf numFmtId="1" fontId="3" fillId="0" borderId="38" xfId="25" applyNumberFormat="1" applyFill="1" applyBorder="1" applyAlignment="1">
      <alignment horizontal="center" vertical="center"/>
    </xf>
    <xf numFmtId="1" fontId="3" fillId="0" borderId="31" xfId="25" applyNumberFormat="1" applyBorder="1" applyAlignment="1">
      <alignment horizontal="center" vertical="center"/>
    </xf>
    <xf numFmtId="1" fontId="3" fillId="0" borderId="31" xfId="25" applyNumberFormat="1" applyBorder="1" applyAlignment="1">
      <alignment horizontal="left" vertical="center"/>
    </xf>
    <xf numFmtId="1" fontId="0" fillId="0" borderId="31" xfId="26" applyNumberFormat="1" applyFont="1" applyBorder="1" applyAlignment="1">
      <alignment horizontal="center" vertical="center"/>
    </xf>
    <xf numFmtId="1" fontId="3" fillId="0" borderId="37" xfId="25" applyNumberFormat="1" applyBorder="1" applyAlignment="1">
      <alignment horizontal="center" vertical="center"/>
    </xf>
    <xf numFmtId="1" fontId="15" fillId="20" borderId="16" xfId="25" applyNumberFormat="1" applyFont="1" applyFill="1" applyBorder="1" applyAlignment="1">
      <alignment horizontal="center" vertical="center"/>
    </xf>
    <xf numFmtId="1" fontId="15" fillId="20" borderId="17" xfId="25" applyNumberFormat="1" applyFont="1" applyFill="1" applyBorder="1" applyAlignment="1">
      <alignment horizontal="center" vertical="center"/>
    </xf>
    <xf numFmtId="1" fontId="15" fillId="20" borderId="17" xfId="25" applyNumberFormat="1" applyFont="1" applyFill="1" applyBorder="1" applyAlignment="1">
      <alignment horizontal="left" vertical="center"/>
    </xf>
    <xf numFmtId="1" fontId="15" fillId="20" borderId="17" xfId="26" applyNumberFormat="1" applyFont="1" applyFill="1" applyBorder="1" applyAlignment="1">
      <alignment horizontal="center" vertical="center"/>
    </xf>
    <xf numFmtId="1" fontId="3" fillId="0" borderId="40" xfId="25" applyNumberFormat="1" applyBorder="1" applyAlignment="1">
      <alignment horizontal="center" vertical="center"/>
    </xf>
    <xf numFmtId="1" fontId="3" fillId="0" borderId="34" xfId="25" applyNumberFormat="1" applyFill="1" applyBorder="1" applyAlignment="1">
      <alignment horizontal="center" vertical="center"/>
    </xf>
    <xf numFmtId="1" fontId="3" fillId="0" borderId="34" xfId="25" applyNumberFormat="1" applyBorder="1" applyAlignment="1">
      <alignment horizontal="center" vertical="center"/>
    </xf>
    <xf numFmtId="1" fontId="3" fillId="0" borderId="34" xfId="25" applyNumberFormat="1" applyBorder="1" applyAlignment="1">
      <alignment horizontal="left" vertical="center"/>
    </xf>
    <xf numFmtId="1" fontId="3" fillId="0" borderId="35" xfId="25" applyNumberFormat="1" applyBorder="1" applyAlignment="1">
      <alignment horizontal="center" vertical="center"/>
    </xf>
    <xf numFmtId="1" fontId="0" fillId="0" borderId="34" xfId="26" applyNumberFormat="1" applyFont="1" applyBorder="1" applyAlignment="1">
      <alignment horizontal="center" vertical="center"/>
    </xf>
    <xf numFmtId="1" fontId="3" fillId="0" borderId="35" xfId="25" applyNumberFormat="1" applyFill="1" applyBorder="1" applyAlignment="1">
      <alignment horizontal="center" vertical="center"/>
    </xf>
    <xf numFmtId="1" fontId="3" fillId="4" borderId="34" xfId="25" applyNumberFormat="1" applyFill="1" applyBorder="1" applyAlignment="1">
      <alignment horizontal="center" vertical="center"/>
    </xf>
    <xf numFmtId="1" fontId="3" fillId="4" borderId="34" xfId="25" applyNumberFormat="1" applyFill="1" applyBorder="1" applyAlignment="1">
      <alignment horizontal="left" vertical="center"/>
    </xf>
    <xf numFmtId="1" fontId="3" fillId="21" borderId="34" xfId="25" applyNumberFormat="1" applyFill="1" applyBorder="1" applyAlignment="1">
      <alignment horizontal="center" vertical="center"/>
    </xf>
    <xf numFmtId="1" fontId="0" fillId="21" borderId="34" xfId="26" applyNumberFormat="1" applyFont="1" applyFill="1" applyBorder="1" applyAlignment="1">
      <alignment horizontal="center" vertical="center"/>
    </xf>
    <xf numFmtId="1" fontId="3" fillId="4" borderId="32" xfId="25" applyNumberFormat="1" applyFill="1" applyBorder="1" applyAlignment="1">
      <alignment horizontal="center" vertical="center"/>
    </xf>
    <xf numFmtId="1" fontId="15" fillId="22" borderId="16" xfId="25" applyNumberFormat="1" applyFont="1" applyFill="1" applyBorder="1" applyAlignment="1">
      <alignment horizontal="center" vertical="center"/>
    </xf>
    <xf numFmtId="1" fontId="15" fillId="22" borderId="17" xfId="25" applyNumberFormat="1" applyFont="1" applyFill="1" applyBorder="1" applyAlignment="1">
      <alignment horizontal="center" vertical="center"/>
    </xf>
    <xf numFmtId="1" fontId="15" fillId="22" borderId="17" xfId="25" applyNumberFormat="1" applyFont="1" applyFill="1" applyBorder="1" applyAlignment="1">
      <alignment horizontal="left" vertical="center"/>
    </xf>
    <xf numFmtId="1" fontId="15" fillId="22" borderId="17" xfId="26" applyNumberFormat="1" applyFont="1" applyFill="1" applyBorder="1" applyAlignment="1">
      <alignment horizontal="center" vertical="center"/>
    </xf>
    <xf numFmtId="1" fontId="3" fillId="0" borderId="40" xfId="25" applyNumberFormat="1" applyFill="1" applyBorder="1" applyAlignment="1">
      <alignment horizontal="center" vertical="center"/>
    </xf>
    <xf numFmtId="1" fontId="15" fillId="23" borderId="16" xfId="25" applyNumberFormat="1" applyFont="1" applyFill="1" applyBorder="1" applyAlignment="1">
      <alignment horizontal="center" vertical="center"/>
    </xf>
    <xf numFmtId="1" fontId="15" fillId="23" borderId="17" xfId="25" applyNumberFormat="1" applyFont="1" applyFill="1" applyBorder="1" applyAlignment="1">
      <alignment horizontal="center" vertical="center"/>
    </xf>
    <xf numFmtId="1" fontId="15" fillId="23" borderId="17" xfId="25" applyNumberFormat="1" applyFont="1" applyFill="1" applyBorder="1" applyAlignment="1">
      <alignment horizontal="left" vertical="center"/>
    </xf>
    <xf numFmtId="1" fontId="15" fillId="23" borderId="17" xfId="26" applyNumberFormat="1" applyFont="1" applyFill="1" applyBorder="1" applyAlignment="1">
      <alignment horizontal="center" vertical="center"/>
    </xf>
    <xf numFmtId="1" fontId="15" fillId="24" borderId="16" xfId="25" applyNumberFormat="1" applyFont="1" applyFill="1" applyBorder="1" applyAlignment="1">
      <alignment horizontal="center" vertical="center"/>
    </xf>
    <xf numFmtId="1" fontId="15" fillId="24" borderId="17" xfId="25" applyNumberFormat="1" applyFont="1" applyFill="1" applyBorder="1" applyAlignment="1">
      <alignment horizontal="center" vertical="center"/>
    </xf>
    <xf numFmtId="1" fontId="15" fillId="24" borderId="17" xfId="25" applyNumberFormat="1" applyFont="1" applyFill="1" applyBorder="1" applyAlignment="1">
      <alignment horizontal="left" vertical="center"/>
    </xf>
    <xf numFmtId="1" fontId="3" fillId="24" borderId="17" xfId="25" applyNumberFormat="1" applyFill="1" applyBorder="1" applyAlignment="1">
      <alignment horizontal="center" vertical="center"/>
    </xf>
    <xf numFmtId="1" fontId="0" fillId="24" borderId="17" xfId="26" applyNumberFormat="1" applyFont="1" applyFill="1" applyBorder="1" applyAlignment="1">
      <alignment horizontal="center" vertical="center"/>
    </xf>
    <xf numFmtId="1" fontId="15" fillId="24" borderId="17" xfId="26" applyNumberFormat="1" applyFont="1" applyFill="1" applyBorder="1" applyAlignment="1">
      <alignment horizontal="center" vertical="center"/>
    </xf>
    <xf numFmtId="1" fontId="3" fillId="24" borderId="17" xfId="25" applyNumberFormat="1" applyFill="1" applyBorder="1" applyAlignment="1">
      <alignment horizontal="left" vertical="center"/>
    </xf>
    <xf numFmtId="1" fontId="3" fillId="17" borderId="31" xfId="25" applyNumberFormat="1" applyFill="1" applyBorder="1" applyAlignment="1">
      <alignment horizontal="center" vertical="center"/>
    </xf>
    <xf numFmtId="1" fontId="3" fillId="17" borderId="31" xfId="25" applyNumberFormat="1" applyFill="1" applyBorder="1" applyAlignment="1">
      <alignment horizontal="left" vertical="center"/>
    </xf>
    <xf numFmtId="1" fontId="15" fillId="17" borderId="31" xfId="25" applyNumberFormat="1" applyFont="1" applyFill="1" applyBorder="1" applyAlignment="1">
      <alignment horizontal="center" vertical="center"/>
    </xf>
    <xf numFmtId="1" fontId="3" fillId="17" borderId="34" xfId="25" applyNumberFormat="1" applyFill="1" applyBorder="1" applyAlignment="1">
      <alignment horizontal="center" vertical="center"/>
    </xf>
    <xf numFmtId="1" fontId="3" fillId="17" borderId="35" xfId="25" applyNumberFormat="1" applyFill="1" applyBorder="1" applyAlignment="1">
      <alignment horizontal="center" vertical="center"/>
    </xf>
    <xf numFmtId="1" fontId="0" fillId="17" borderId="34" xfId="26" applyNumberFormat="1" applyFont="1" applyFill="1" applyBorder="1" applyAlignment="1">
      <alignment horizontal="center" vertical="center"/>
    </xf>
    <xf numFmtId="1" fontId="3" fillId="17" borderId="34" xfId="25" applyNumberFormat="1" applyFill="1" applyBorder="1" applyAlignment="1">
      <alignment horizontal="left" vertical="center"/>
    </xf>
    <xf numFmtId="1" fontId="15" fillId="12" borderId="16" xfId="25" applyNumberFormat="1" applyFont="1" applyFill="1" applyBorder="1" applyAlignment="1">
      <alignment horizontal="center" vertical="center"/>
    </xf>
    <xf numFmtId="1" fontId="15" fillId="12" borderId="17" xfId="25" applyNumberFormat="1" applyFont="1" applyFill="1" applyBorder="1" applyAlignment="1">
      <alignment horizontal="center" vertical="center"/>
    </xf>
    <xf numFmtId="1" fontId="15" fillId="12" borderId="17" xfId="25" applyNumberFormat="1" applyFont="1" applyFill="1" applyBorder="1" applyAlignment="1">
      <alignment horizontal="left" vertical="center"/>
    </xf>
    <xf numFmtId="1" fontId="15" fillId="12" borderId="17" xfId="26" applyNumberFormat="1" applyFont="1" applyFill="1" applyBorder="1" applyAlignment="1">
      <alignment horizontal="center" vertical="center"/>
    </xf>
    <xf numFmtId="1" fontId="15" fillId="25" borderId="16" xfId="25" applyNumberFormat="1" applyFont="1" applyFill="1" applyBorder="1" applyAlignment="1">
      <alignment horizontal="center" vertical="center"/>
    </xf>
    <xf numFmtId="1" fontId="15" fillId="25" borderId="17" xfId="25" applyNumberFormat="1" applyFont="1" applyFill="1" applyBorder="1" applyAlignment="1">
      <alignment horizontal="center" vertical="center"/>
    </xf>
    <xf numFmtId="1" fontId="15" fillId="25" borderId="17" xfId="25" applyNumberFormat="1" applyFont="1" applyFill="1" applyBorder="1" applyAlignment="1">
      <alignment horizontal="left" vertical="center"/>
    </xf>
    <xf numFmtId="1" fontId="15" fillId="25" borderId="17" xfId="26" applyNumberFormat="1" applyFont="1" applyFill="1" applyBorder="1" applyAlignment="1">
      <alignment horizontal="center" vertical="center"/>
    </xf>
    <xf numFmtId="1" fontId="3" fillId="21" borderId="34" xfId="25" applyNumberFormat="1" applyFill="1" applyBorder="1" applyAlignment="1">
      <alignment horizontal="left" vertical="center"/>
    </xf>
    <xf numFmtId="1" fontId="15" fillId="8" borderId="16" xfId="25" applyNumberFormat="1" applyFont="1" applyFill="1" applyBorder="1" applyAlignment="1">
      <alignment horizontal="center" vertical="center"/>
    </xf>
    <xf numFmtId="1" fontId="15" fillId="8" borderId="17" xfId="25" applyNumberFormat="1" applyFont="1" applyFill="1" applyBorder="1" applyAlignment="1">
      <alignment horizontal="center" vertical="center"/>
    </xf>
    <xf numFmtId="1" fontId="15" fillId="8" borderId="17" xfId="25" applyNumberFormat="1" applyFont="1" applyFill="1" applyBorder="1" applyAlignment="1">
      <alignment horizontal="left" vertical="center"/>
    </xf>
    <xf numFmtId="1" fontId="15" fillId="8" borderId="17" xfId="26" applyNumberFormat="1" applyFont="1" applyFill="1" applyBorder="1" applyAlignment="1">
      <alignment horizontal="center" vertical="center"/>
    </xf>
    <xf numFmtId="43" fontId="0" fillId="0" borderId="39" xfId="26" applyFont="1" applyBorder="1" applyAlignment="1">
      <alignment horizontal="left" vertical="center"/>
    </xf>
    <xf numFmtId="1" fontId="3" fillId="0" borderId="34" xfId="25" applyNumberFormat="1" applyFill="1" applyBorder="1" applyAlignment="1">
      <alignment horizontal="left" vertical="center"/>
    </xf>
    <xf numFmtId="1" fontId="0" fillId="0" borderId="34" xfId="26" applyNumberFormat="1" applyFont="1" applyFill="1" applyBorder="1" applyAlignment="1">
      <alignment horizontal="center" vertical="center"/>
    </xf>
    <xf numFmtId="1" fontId="3" fillId="21" borderId="35" xfId="25" applyNumberFormat="1" applyFill="1" applyBorder="1" applyAlignment="1">
      <alignment horizontal="center" vertical="center"/>
    </xf>
    <xf numFmtId="1" fontId="3" fillId="21" borderId="21" xfId="25" applyNumberFormat="1" applyFill="1" applyBorder="1" applyAlignment="1">
      <alignment horizontal="center" vertical="center"/>
    </xf>
    <xf numFmtId="1" fontId="3" fillId="21" borderId="32" xfId="25" applyNumberFormat="1" applyFill="1" applyBorder="1" applyAlignment="1">
      <alignment horizontal="center" vertical="center"/>
    </xf>
    <xf numFmtId="1" fontId="3" fillId="21" borderId="32" xfId="25" applyNumberFormat="1" applyFill="1" applyBorder="1" applyAlignment="1">
      <alignment horizontal="left" vertical="center"/>
    </xf>
    <xf numFmtId="1" fontId="0" fillId="21" borderId="32" xfId="26" applyNumberFormat="1" applyFont="1" applyFill="1" applyBorder="1" applyAlignment="1">
      <alignment horizontal="center" vertical="center"/>
    </xf>
    <xf numFmtId="1" fontId="3" fillId="21" borderId="38" xfId="25" applyNumberFormat="1" applyFill="1" applyBorder="1" applyAlignment="1">
      <alignment horizontal="center" vertical="center"/>
    </xf>
    <xf numFmtId="1" fontId="15" fillId="26" borderId="16" xfId="25" applyNumberFormat="1" applyFont="1" applyFill="1" applyBorder="1" applyAlignment="1">
      <alignment horizontal="center" vertical="center"/>
    </xf>
    <xf numFmtId="1" fontId="15" fillId="26" borderId="17" xfId="25" applyNumberFormat="1" applyFont="1" applyFill="1" applyBorder="1" applyAlignment="1">
      <alignment horizontal="center" vertical="center"/>
    </xf>
    <xf numFmtId="1" fontId="15" fillId="26" borderId="17" xfId="25" applyNumberFormat="1" applyFont="1" applyFill="1" applyBorder="1" applyAlignment="1">
      <alignment horizontal="left" vertical="center"/>
    </xf>
    <xf numFmtId="1" fontId="15" fillId="26" borderId="17" xfId="26" applyNumberFormat="1" applyFont="1" applyFill="1" applyBorder="1" applyAlignment="1">
      <alignment horizontal="center" vertical="center"/>
    </xf>
    <xf numFmtId="1" fontId="15" fillId="0" borderId="34" xfId="25" applyNumberFormat="1" applyFont="1" applyBorder="1" applyAlignment="1">
      <alignment horizontal="center" vertical="center"/>
    </xf>
    <xf numFmtId="1" fontId="15" fillId="0" borderId="34" xfId="25" applyNumberFormat="1" applyFont="1" applyBorder="1" applyAlignment="1">
      <alignment horizontal="left" vertical="center"/>
    </xf>
    <xf numFmtId="1" fontId="15" fillId="0" borderId="35" xfId="25" applyNumberFormat="1" applyFont="1" applyBorder="1" applyAlignment="1">
      <alignment horizontal="center" vertical="center"/>
    </xf>
    <xf numFmtId="1" fontId="16" fillId="27" borderId="34" xfId="25" applyNumberFormat="1" applyFont="1" applyFill="1" applyBorder="1" applyAlignment="1">
      <alignment horizontal="center" vertical="center"/>
    </xf>
    <xf numFmtId="1" fontId="16" fillId="27" borderId="34" xfId="25" applyNumberFormat="1" applyFont="1" applyFill="1" applyBorder="1" applyAlignment="1">
      <alignment horizontal="left" vertical="center"/>
    </xf>
    <xf numFmtId="1" fontId="16" fillId="27" borderId="34" xfId="26" applyNumberFormat="1" applyFont="1" applyFill="1" applyBorder="1" applyAlignment="1">
      <alignment horizontal="center" vertical="center"/>
    </xf>
    <xf numFmtId="1" fontId="16" fillId="27" borderId="35" xfId="26" applyNumberFormat="1" applyFont="1" applyFill="1" applyBorder="1" applyAlignment="1">
      <alignment horizontal="center" vertical="center"/>
    </xf>
    <xf numFmtId="1" fontId="16" fillId="16" borderId="32" xfId="26" applyNumberFormat="1" applyFont="1" applyFill="1" applyBorder="1" applyAlignment="1">
      <alignment horizontal="center" vertical="center"/>
    </xf>
    <xf numFmtId="1" fontId="3" fillId="0" borderId="34" xfId="25" applyNumberFormat="1" applyFont="1" applyBorder="1" applyAlignment="1">
      <alignment horizontal="left" vertical="center"/>
    </xf>
    <xf numFmtId="1" fontId="3" fillId="0" borderId="34" xfId="25" applyNumberFormat="1" applyFont="1" applyBorder="1" applyAlignment="1">
      <alignment horizontal="center" vertical="center"/>
    </xf>
    <xf numFmtId="1" fontId="3" fillId="0" borderId="34" xfId="26" applyNumberFormat="1" applyFont="1" applyBorder="1" applyAlignment="1">
      <alignment horizontal="center" vertical="center"/>
    </xf>
    <xf numFmtId="1" fontId="3" fillId="0" borderId="34" xfId="26" applyNumberFormat="1" applyFont="1" applyFill="1" applyBorder="1" applyAlignment="1">
      <alignment horizontal="center" vertical="center"/>
    </xf>
    <xf numFmtId="1" fontId="3" fillId="0" borderId="35" xfId="26" applyNumberFormat="1" applyFont="1" applyFill="1" applyBorder="1" applyAlignment="1">
      <alignment horizontal="center" vertical="center"/>
    </xf>
    <xf numFmtId="1" fontId="15" fillId="0" borderId="34" xfId="26" applyNumberFormat="1" applyFont="1" applyBorder="1" applyAlignment="1">
      <alignment horizontal="center" vertical="center"/>
    </xf>
    <xf numFmtId="1" fontId="15" fillId="0" borderId="34" xfId="25" applyNumberFormat="1" applyFont="1" applyFill="1" applyBorder="1" applyAlignment="1">
      <alignment horizontal="center" vertical="center"/>
    </xf>
    <xf numFmtId="1" fontId="15" fillId="0" borderId="35" xfId="25" applyNumberFormat="1" applyFont="1" applyFill="1" applyBorder="1" applyAlignment="1">
      <alignment horizontal="center" vertical="center"/>
    </xf>
    <xf numFmtId="1" fontId="3" fillId="0" borderId="34" xfId="25" applyNumberFormat="1" applyFont="1" applyFill="1" applyBorder="1" applyAlignment="1">
      <alignment horizontal="center" vertical="center"/>
    </xf>
    <xf numFmtId="1" fontId="3" fillId="0" borderId="35" xfId="25" applyNumberFormat="1" applyFont="1" applyFill="1" applyBorder="1" applyAlignment="1">
      <alignment horizontal="center" vertical="center"/>
    </xf>
    <xf numFmtId="1" fontId="15" fillId="28" borderId="16" xfId="25" applyNumberFormat="1" applyFont="1" applyFill="1" applyBorder="1" applyAlignment="1">
      <alignment horizontal="center" vertical="center"/>
    </xf>
    <xf numFmtId="1" fontId="15" fillId="28" borderId="17" xfId="25" applyNumberFormat="1" applyFont="1" applyFill="1" applyBorder="1" applyAlignment="1">
      <alignment horizontal="center" vertical="center"/>
    </xf>
    <xf numFmtId="1" fontId="15" fillId="28" borderId="17" xfId="25" applyNumberFormat="1" applyFont="1" applyFill="1" applyBorder="1" applyAlignment="1">
      <alignment horizontal="left" vertical="center"/>
    </xf>
    <xf numFmtId="1" fontId="15" fillId="28" borderId="17" xfId="26" applyNumberFormat="1" applyFont="1" applyFill="1" applyBorder="1" applyAlignment="1">
      <alignment horizontal="center" vertical="center"/>
    </xf>
    <xf numFmtId="1" fontId="15" fillId="0" borderId="35" xfId="26" applyNumberFormat="1" applyFont="1" applyBorder="1" applyAlignment="1">
      <alignment horizontal="center" vertical="center"/>
    </xf>
    <xf numFmtId="1" fontId="44" fillId="29" borderId="34" xfId="25" applyNumberFormat="1" applyFont="1" applyFill="1" applyBorder="1" applyAlignment="1">
      <alignment horizontal="center" vertical="center"/>
    </xf>
    <xf numFmtId="1" fontId="45" fillId="29" borderId="34" xfId="25" applyNumberFormat="1" applyFont="1" applyFill="1" applyBorder="1" applyAlignment="1">
      <alignment horizontal="left" vertical="center"/>
    </xf>
    <xf numFmtId="1" fontId="45" fillId="29" borderId="34" xfId="26" applyNumberFormat="1" applyFont="1" applyFill="1" applyBorder="1" applyAlignment="1">
      <alignment horizontal="center" vertical="center"/>
    </xf>
    <xf numFmtId="1" fontId="45" fillId="29" borderId="35" xfId="26" applyNumberFormat="1" applyFont="1" applyFill="1" applyBorder="1" applyAlignment="1">
      <alignment horizontal="center" vertical="center"/>
    </xf>
    <xf numFmtId="1" fontId="45" fillId="16" borderId="32" xfId="26" applyNumberFormat="1" applyFont="1" applyFill="1" applyBorder="1" applyAlignment="1">
      <alignment horizontal="center" vertical="center"/>
    </xf>
    <xf numFmtId="1" fontId="44" fillId="29" borderId="34" xfId="25" applyNumberFormat="1" applyFont="1" applyFill="1" applyBorder="1" applyAlignment="1">
      <alignment horizontal="left" vertical="center"/>
    </xf>
    <xf numFmtId="1" fontId="15" fillId="30" borderId="34" xfId="25" applyNumberFormat="1" applyFont="1" applyFill="1" applyBorder="1" applyAlignment="1">
      <alignment horizontal="center" vertical="center"/>
    </xf>
    <xf numFmtId="1" fontId="15" fillId="30" borderId="34" xfId="25" applyNumberFormat="1" applyFont="1" applyFill="1" applyBorder="1" applyAlignment="1">
      <alignment horizontal="left" vertical="center"/>
    </xf>
    <xf numFmtId="1" fontId="15" fillId="30" borderId="34" xfId="26" applyNumberFormat="1" applyFont="1" applyFill="1" applyBorder="1" applyAlignment="1">
      <alignment horizontal="center" vertical="center"/>
    </xf>
    <xf numFmtId="1" fontId="15" fillId="30" borderId="35" xfId="26" applyNumberFormat="1" applyFont="1" applyFill="1" applyBorder="1" applyAlignment="1">
      <alignment horizontal="center" vertical="center"/>
    </xf>
    <xf numFmtId="1" fontId="3" fillId="0" borderId="35" xfId="25" applyNumberFormat="1" applyFont="1" applyBorder="1" applyAlignment="1">
      <alignment horizontal="center" vertical="center"/>
    </xf>
    <xf numFmtId="1" fontId="3" fillId="16" borderId="32" xfId="25" applyNumberFormat="1" applyFont="1" applyFill="1" applyBorder="1" applyAlignment="1">
      <alignment horizontal="center" vertical="center"/>
    </xf>
    <xf numFmtId="1" fontId="14" fillId="0" borderId="34" xfId="25" applyNumberFormat="1" applyFont="1" applyBorder="1" applyAlignment="1">
      <alignment horizontal="left" vertical="center"/>
    </xf>
    <xf numFmtId="1" fontId="38" fillId="0" borderId="34" xfId="25" applyNumberFormat="1" applyFont="1" applyBorder="1" applyAlignment="1">
      <alignment horizontal="left" vertical="center"/>
    </xf>
    <xf numFmtId="1" fontId="3" fillId="3" borderId="41" xfId="25" applyNumberFormat="1" applyFill="1" applyBorder="1" applyAlignment="1">
      <alignment horizontal="center" vertical="center"/>
    </xf>
    <xf numFmtId="1" fontId="3" fillId="3" borderId="42" xfId="25" applyNumberFormat="1" applyFill="1" applyBorder="1" applyAlignment="1">
      <alignment horizontal="center" vertical="center"/>
    </xf>
    <xf numFmtId="0" fontId="3" fillId="0" borderId="35" xfId="25" applyBorder="1" applyAlignment="1">
      <alignment horizontal="center" vertical="center"/>
    </xf>
    <xf numFmtId="0" fontId="3" fillId="16" borderId="32" xfId="25" applyFill="1" applyBorder="1" applyAlignment="1">
      <alignment horizontal="center" vertical="center"/>
    </xf>
    <xf numFmtId="0" fontId="46" fillId="0" borderId="34" xfId="25" applyFont="1" applyBorder="1" applyAlignment="1">
      <alignment horizontal="left" vertical="center"/>
    </xf>
    <xf numFmtId="0" fontId="38" fillId="0" borderId="34" xfId="25" applyFont="1" applyBorder="1" applyAlignment="1">
      <alignment horizontal="left" vertical="center"/>
    </xf>
    <xf numFmtId="0" fontId="15" fillId="3" borderId="0" xfId="25" applyFont="1" applyFill="1" applyProtection="1"/>
    <xf numFmtId="0" fontId="3" fillId="0" borderId="0" xfId="25" applyProtection="1"/>
    <xf numFmtId="0" fontId="3" fillId="0" borderId="0" xfId="25" applyProtection="1">
      <protection locked="0"/>
    </xf>
    <xf numFmtId="0" fontId="15" fillId="0" borderId="0" xfId="25" applyFont="1" applyProtection="1"/>
    <xf numFmtId="164" fontId="3" fillId="0" borderId="0" xfId="25" applyNumberFormat="1" applyProtection="1">
      <protection locked="0"/>
    </xf>
    <xf numFmtId="0" fontId="15" fillId="6" borderId="0" xfId="25" applyFont="1" applyFill="1" applyProtection="1"/>
    <xf numFmtId="0" fontId="15" fillId="2" borderId="0" xfId="25" applyFont="1" applyFill="1" applyProtection="1"/>
    <xf numFmtId="164" fontId="15" fillId="2" borderId="0" xfId="25" applyNumberFormat="1" applyFont="1" applyFill="1" applyProtection="1"/>
    <xf numFmtId="164" fontId="15" fillId="0" borderId="0" xfId="25" applyNumberFormat="1" applyFont="1" applyFill="1" applyProtection="1"/>
    <xf numFmtId="164" fontId="15" fillId="2" borderId="0" xfId="25" applyNumberFormat="1" applyFont="1" applyFill="1" applyProtection="1">
      <protection locked="0"/>
    </xf>
    <xf numFmtId="164" fontId="15" fillId="2" borderId="0" xfId="25" quotePrefix="1" applyNumberFormat="1" applyFont="1" applyFill="1" applyProtection="1">
      <protection locked="0"/>
    </xf>
    <xf numFmtId="0" fontId="15" fillId="2" borderId="43" xfId="25" applyFont="1" applyFill="1" applyBorder="1" applyProtection="1"/>
    <xf numFmtId="0" fontId="15" fillId="6" borderId="0" xfId="25" applyFont="1" applyFill="1" applyProtection="1">
      <protection locked="0"/>
    </xf>
    <xf numFmtId="164" fontId="15" fillId="2" borderId="43" xfId="25" applyNumberFormat="1" applyFont="1" applyFill="1" applyBorder="1" applyProtection="1"/>
    <xf numFmtId="164" fontId="15" fillId="0" borderId="43" xfId="25" applyNumberFormat="1" applyFont="1" applyFill="1" applyBorder="1" applyProtection="1"/>
    <xf numFmtId="164" fontId="15" fillId="2" borderId="43" xfId="25" applyNumberFormat="1" applyFont="1" applyFill="1" applyBorder="1" applyProtection="1">
      <protection locked="0"/>
    </xf>
    <xf numFmtId="164" fontId="15" fillId="2" borderId="43" xfId="25" applyNumberFormat="1" applyFont="1" applyFill="1" applyBorder="1" applyAlignment="1" applyProtection="1">
      <alignment horizontal="center"/>
      <protection locked="0"/>
    </xf>
    <xf numFmtId="164" fontId="15" fillId="2" borderId="0" xfId="25" applyNumberFormat="1" applyFont="1" applyFill="1" applyBorder="1" applyProtection="1">
      <protection locked="0"/>
    </xf>
    <xf numFmtId="0" fontId="3" fillId="0" borderId="43" xfId="25" applyFont="1" applyBorder="1" applyProtection="1"/>
    <xf numFmtId="164" fontId="3" fillId="0" borderId="43" xfId="25" applyNumberFormat="1" applyFont="1" applyBorder="1" applyProtection="1"/>
    <xf numFmtId="164" fontId="15" fillId="0" borderId="0" xfId="25" applyNumberFormat="1" applyFont="1" applyProtection="1"/>
    <xf numFmtId="164" fontId="15" fillId="0" borderId="43" xfId="25" applyNumberFormat="1" applyFont="1" applyBorder="1" applyProtection="1"/>
    <xf numFmtId="164" fontId="47" fillId="0" borderId="0" xfId="25" applyNumberFormat="1" applyFont="1" applyProtection="1">
      <protection locked="0"/>
    </xf>
    <xf numFmtId="164" fontId="15" fillId="0" borderId="0" xfId="25" applyNumberFormat="1" applyFont="1" applyProtection="1">
      <protection locked="0"/>
    </xf>
    <xf numFmtId="0" fontId="15" fillId="0" borderId="0" xfId="25" applyFont="1" applyProtection="1">
      <protection locked="0"/>
    </xf>
    <xf numFmtId="164" fontId="3" fillId="0" borderId="0" xfId="25" applyNumberFormat="1" applyFont="1" applyProtection="1">
      <protection locked="0"/>
    </xf>
    <xf numFmtId="166" fontId="0" fillId="0" borderId="0" xfId="27" applyNumberFormat="1" applyFont="1" applyProtection="1">
      <protection locked="0"/>
    </xf>
    <xf numFmtId="43" fontId="0" fillId="0" borderId="0" xfId="26" applyFont="1" applyProtection="1">
      <protection locked="0"/>
    </xf>
    <xf numFmtId="0" fontId="15" fillId="0" borderId="0" xfId="26" applyNumberFormat="1" applyFont="1" applyProtection="1"/>
    <xf numFmtId="164" fontId="15" fillId="0" borderId="0" xfId="26" applyNumberFormat="1" applyFont="1" applyProtection="1"/>
    <xf numFmtId="164" fontId="3" fillId="0" borderId="0" xfId="25" applyNumberFormat="1" applyProtection="1"/>
    <xf numFmtId="0" fontId="47" fillId="0" borderId="0" xfId="25" applyFont="1" applyProtection="1">
      <protection locked="0"/>
    </xf>
    <xf numFmtId="0" fontId="15" fillId="0" borderId="8" xfId="25" applyFont="1" applyBorder="1" applyProtection="1"/>
    <xf numFmtId="0" fontId="15" fillId="0" borderId="8" xfId="25" applyFont="1" applyBorder="1" applyProtection="1">
      <protection locked="0"/>
    </xf>
    <xf numFmtId="164" fontId="15" fillId="0" borderId="8" xfId="25" applyNumberFormat="1" applyFont="1" applyBorder="1" applyProtection="1"/>
    <xf numFmtId="164" fontId="48" fillId="0" borderId="8" xfId="25" applyNumberFormat="1" applyFont="1" applyBorder="1" applyProtection="1">
      <protection locked="0"/>
    </xf>
    <xf numFmtId="164" fontId="15" fillId="0" borderId="8" xfId="25" applyNumberFormat="1" applyFont="1" applyBorder="1" applyProtection="1">
      <protection locked="0"/>
    </xf>
    <xf numFmtId="166" fontId="15" fillId="0" borderId="8" xfId="27" applyNumberFormat="1" applyFont="1" applyBorder="1" applyProtection="1">
      <protection locked="0"/>
    </xf>
    <xf numFmtId="0" fontId="3" fillId="0" borderId="0" xfId="25" applyAlignment="1" applyProtection="1">
      <alignment horizontal="left" indent="2"/>
    </xf>
    <xf numFmtId="0" fontId="3" fillId="0" borderId="0" xfId="25" applyAlignment="1" applyProtection="1">
      <alignment horizontal="left" indent="2"/>
      <protection locked="0"/>
    </xf>
    <xf numFmtId="164" fontId="16" fillId="0" borderId="0" xfId="25" applyNumberFormat="1" applyFont="1" applyProtection="1">
      <protection locked="0"/>
    </xf>
    <xf numFmtId="0" fontId="3" fillId="0" borderId="0" xfId="25" applyFont="1" applyProtection="1">
      <protection locked="0"/>
    </xf>
    <xf numFmtId="164" fontId="17" fillId="0" borderId="0" xfId="25" applyNumberFormat="1" applyFont="1" applyProtection="1">
      <protection locked="0"/>
    </xf>
    <xf numFmtId="0" fontId="15" fillId="0" borderId="43" xfId="25" applyFont="1" applyBorder="1" applyProtection="1"/>
    <xf numFmtId="164" fontId="16" fillId="0" borderId="0" xfId="26" applyNumberFormat="1" applyFont="1" applyProtection="1">
      <protection locked="0"/>
    </xf>
    <xf numFmtId="0" fontId="0" fillId="0" borderId="0" xfId="26" applyNumberFormat="1" applyFont="1" applyProtection="1"/>
    <xf numFmtId="164" fontId="0" fillId="0" borderId="0" xfId="26" applyNumberFormat="1" applyFont="1" applyProtection="1"/>
    <xf numFmtId="0" fontId="0" fillId="0" borderId="0" xfId="26" applyNumberFormat="1" applyFont="1" applyProtection="1">
      <protection locked="0"/>
    </xf>
    <xf numFmtId="164" fontId="0" fillId="0" borderId="0" xfId="26" applyNumberFormat="1" applyFont="1" applyProtection="1">
      <protection locked="0"/>
    </xf>
    <xf numFmtId="43" fontId="47" fillId="0" borderId="0" xfId="25" applyNumberFormat="1" applyFont="1" applyProtection="1">
      <protection locked="0"/>
    </xf>
    <xf numFmtId="0" fontId="3" fillId="0" borderId="0" xfId="25" applyFill="1" applyProtection="1"/>
    <xf numFmtId="164" fontId="3" fillId="0" borderId="0" xfId="25" applyNumberFormat="1" applyFill="1" applyProtection="1"/>
    <xf numFmtId="166" fontId="3" fillId="0" borderId="0" xfId="25" applyNumberFormat="1" applyProtection="1">
      <protection locked="0"/>
    </xf>
    <xf numFmtId="0" fontId="3" fillId="0" borderId="0" xfId="25" applyFill="1" applyProtection="1">
      <protection locked="0"/>
    </xf>
    <xf numFmtId="0" fontId="15" fillId="0" borderId="10" xfId="25" applyFont="1" applyBorder="1" applyProtection="1"/>
    <xf numFmtId="0" fontId="15" fillId="0" borderId="10" xfId="25" applyFont="1" applyBorder="1" applyProtection="1">
      <protection locked="0"/>
    </xf>
    <xf numFmtId="164" fontId="15" fillId="0" borderId="10" xfId="26" applyNumberFormat="1" applyFont="1" applyBorder="1" applyProtection="1"/>
    <xf numFmtId="164" fontId="15" fillId="0" borderId="10" xfId="26" applyNumberFormat="1" applyFont="1" applyBorder="1" applyProtection="1">
      <protection locked="0"/>
    </xf>
    <xf numFmtId="164" fontId="15" fillId="0" borderId="10" xfId="25" applyNumberFormat="1" applyFont="1" applyBorder="1" applyProtection="1">
      <protection locked="0"/>
    </xf>
    <xf numFmtId="166" fontId="15" fillId="0" borderId="10" xfId="27" applyNumberFormat="1" applyFont="1" applyBorder="1" applyProtection="1">
      <protection locked="0"/>
    </xf>
    <xf numFmtId="166" fontId="15" fillId="0" borderId="10" xfId="25" applyNumberFormat="1" applyFont="1" applyBorder="1" applyProtection="1">
      <protection locked="0"/>
    </xf>
    <xf numFmtId="0" fontId="47" fillId="0" borderId="0" xfId="25" applyFont="1" applyProtection="1"/>
    <xf numFmtId="3" fontId="3" fillId="0" borderId="0" xfId="25" applyNumberFormat="1" applyFont="1" applyProtection="1">
      <protection locked="0"/>
    </xf>
    <xf numFmtId="164" fontId="3" fillId="0" borderId="0" xfId="25" applyNumberFormat="1" applyFill="1" applyProtection="1">
      <protection locked="0"/>
    </xf>
    <xf numFmtId="0" fontId="15" fillId="0" borderId="0" xfId="25" applyFont="1" applyFill="1" applyProtection="1"/>
    <xf numFmtId="0" fontId="15" fillId="0" borderId="0" xfId="25" applyFont="1" applyFill="1" applyProtection="1">
      <protection locked="0"/>
    </xf>
    <xf numFmtId="3" fontId="15" fillId="2" borderId="44" xfId="27" applyNumberFormat="1" applyFont="1" applyFill="1" applyBorder="1" applyProtection="1">
      <protection locked="0"/>
    </xf>
    <xf numFmtId="166" fontId="15" fillId="2" borderId="44" xfId="27" applyNumberFormat="1" applyFont="1" applyFill="1" applyBorder="1" applyProtection="1">
      <protection locked="0"/>
    </xf>
    <xf numFmtId="166" fontId="15" fillId="2" borderId="0" xfId="27" applyNumberFormat="1" applyFont="1" applyFill="1" applyBorder="1" applyProtection="1">
      <protection locked="0"/>
    </xf>
    <xf numFmtId="3" fontId="3" fillId="0" borderId="0" xfId="25" applyNumberFormat="1" applyProtection="1">
      <protection locked="0"/>
    </xf>
    <xf numFmtId="164" fontId="15" fillId="6" borderId="0" xfId="25" applyNumberFormat="1" applyFont="1" applyFill="1" applyProtection="1">
      <protection locked="0"/>
    </xf>
    <xf numFmtId="164" fontId="15" fillId="6" borderId="0" xfId="25" applyNumberFormat="1" applyFont="1" applyFill="1" applyProtection="1"/>
    <xf numFmtId="164" fontId="15" fillId="0" borderId="0" xfId="25" applyNumberFormat="1" applyFont="1" applyFill="1" applyProtection="1">
      <protection locked="0"/>
    </xf>
    <xf numFmtId="1" fontId="0" fillId="0" borderId="0" xfId="0" applyNumberFormat="1" applyFill="1"/>
    <xf numFmtId="1" fontId="0" fillId="0" borderId="0" xfId="0" applyNumberForma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6" fillId="1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1" fillId="0" borderId="0" xfId="0" quotePrefix="1" applyFont="1"/>
    <xf numFmtId="0" fontId="17" fillId="0" borderId="6" xfId="0" applyFont="1" applyFill="1" applyBorder="1" applyAlignment="1"/>
    <xf numFmtId="0" fontId="17" fillId="0" borderId="2" xfId="0" applyFont="1" applyFill="1" applyBorder="1" applyAlignment="1"/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4" fillId="0" borderId="0" xfId="19" applyNumberFormat="1" applyFont="1" applyFill="1" applyAlignment="1"/>
    <xf numFmtId="0" fontId="17" fillId="0" borderId="1" xfId="0" applyFont="1" applyBorder="1" applyAlignment="1">
      <alignment wrapText="1"/>
    </xf>
    <xf numFmtId="1" fontId="17" fillId="0" borderId="3" xfId="0" applyNumberFormat="1" applyFont="1" applyFill="1" applyBorder="1" applyAlignment="1">
      <alignment horizontal="center"/>
    </xf>
    <xf numFmtId="0" fontId="17" fillId="9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1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164" fontId="24" fillId="0" borderId="4" xfId="19" applyNumberFormat="1" applyFont="1" applyFill="1" applyBorder="1" applyAlignment="1">
      <alignment horizontal="center" vertical="center" wrapText="1"/>
    </xf>
    <xf numFmtId="9" fontId="14" fillId="8" borderId="34" xfId="20" applyFont="1" applyFill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7" fillId="9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/>
    </xf>
    <xf numFmtId="0" fontId="32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  <xf numFmtId="37" fontId="14" fillId="0" borderId="1" xfId="19" applyNumberFormat="1" applyFont="1" applyFill="1" applyBorder="1" applyAlignment="1">
      <alignment horizont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0" fillId="0" borderId="24" xfId="0" applyBorder="1"/>
    <xf numFmtId="0" fontId="17" fillId="31" borderId="34" xfId="0" applyFont="1" applyFill="1" applyBorder="1" applyAlignment="1">
      <alignment horizontal="left" vertical="center"/>
    </xf>
    <xf numFmtId="0" fontId="14" fillId="4" borderId="0" xfId="0" applyFont="1" applyFill="1"/>
    <xf numFmtId="0" fontId="0" fillId="0" borderId="0" xfId="0"/>
    <xf numFmtId="0" fontId="14" fillId="0" borderId="0" xfId="0" applyFont="1"/>
    <xf numFmtId="0" fontId="17" fillId="0" borderId="2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 wrapText="1"/>
    </xf>
    <xf numFmtId="0" fontId="14" fillId="0" borderId="0" xfId="0" applyFont="1" applyFill="1"/>
    <xf numFmtId="0" fontId="14" fillId="0" borderId="8" xfId="0" applyFont="1" applyBorder="1" applyAlignment="1">
      <alignment horizontal="center" wrapText="1"/>
    </xf>
    <xf numFmtId="0" fontId="21" fillId="0" borderId="0" xfId="0" applyFont="1"/>
    <xf numFmtId="0" fontId="14" fillId="0" borderId="0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7" fillId="0" borderId="2" xfId="0" applyFont="1" applyBorder="1"/>
    <xf numFmtId="0" fontId="15" fillId="0" borderId="0" xfId="0" applyFont="1" applyFill="1" applyBorder="1" applyAlignment="1">
      <alignment horizontal="left" vertical="center" wrapText="1"/>
    </xf>
    <xf numFmtId="9" fontId="17" fillId="0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7" borderId="34" xfId="0" applyFont="1" applyFill="1" applyBorder="1" applyAlignment="1">
      <alignment horizontal="left" vertical="center"/>
    </xf>
    <xf numFmtId="0" fontId="21" fillId="7" borderId="34" xfId="0" applyFont="1" applyFill="1" applyBorder="1" applyAlignment="1"/>
    <xf numFmtId="0" fontId="16" fillId="7" borderId="34" xfId="0" applyFont="1" applyFill="1" applyBorder="1" applyAlignment="1"/>
    <xf numFmtId="0" fontId="17" fillId="8" borderId="34" xfId="0" applyFont="1" applyFill="1" applyBorder="1" applyAlignment="1">
      <alignment horizontal="left" vertical="center"/>
    </xf>
    <xf numFmtId="0" fontId="17" fillId="8" borderId="34" xfId="0" applyFont="1" applyFill="1" applyBorder="1" applyAlignment="1">
      <alignment horizontal="left" vertical="top"/>
    </xf>
    <xf numFmtId="0" fontId="14" fillId="8" borderId="34" xfId="0" applyFont="1" applyFill="1" applyBorder="1" applyAlignment="1"/>
    <xf numFmtId="0" fontId="16" fillId="7" borderId="34" xfId="0" applyFont="1" applyFill="1" applyBorder="1" applyAlignment="1">
      <alignment horizontal="left" vertical="top"/>
    </xf>
    <xf numFmtId="0" fontId="17" fillId="10" borderId="34" xfId="0" applyFont="1" applyFill="1" applyBorder="1" applyAlignment="1">
      <alignment horizontal="left" vertical="center"/>
    </xf>
    <xf numFmtId="0" fontId="14" fillId="7" borderId="0" xfId="0" applyFont="1" applyFill="1"/>
    <xf numFmtId="0" fontId="14" fillId="7" borderId="34" xfId="0" applyFont="1" applyFill="1" applyBorder="1" applyAlignment="1">
      <alignment horizontal="left"/>
    </xf>
    <xf numFmtId="0" fontId="16" fillId="7" borderId="34" xfId="0" applyFont="1" applyFill="1" applyBorder="1" applyAlignment="1">
      <alignment horizontal="left"/>
    </xf>
    <xf numFmtId="0" fontId="17" fillId="8" borderId="34" xfId="0" applyFont="1" applyFill="1" applyBorder="1" applyAlignment="1">
      <alignment horizontal="left"/>
    </xf>
    <xf numFmtId="0" fontId="14" fillId="8" borderId="34" xfId="0" applyFont="1" applyFill="1" applyBorder="1" applyAlignment="1">
      <alignment horizontal="left"/>
    </xf>
    <xf numFmtId="0" fontId="14" fillId="8" borderId="0" xfId="0" applyFont="1" applyFill="1"/>
    <xf numFmtId="0" fontId="14" fillId="8" borderId="34" xfId="0" applyFont="1" applyFill="1" applyBorder="1" applyAlignment="1">
      <alignment horizontal="left" vertical="center"/>
    </xf>
    <xf numFmtId="9" fontId="14" fillId="8" borderId="34" xfId="0" applyNumberFormat="1" applyFont="1" applyFill="1" applyBorder="1" applyAlignment="1">
      <alignment horizontal="left" vertical="center"/>
    </xf>
    <xf numFmtId="9" fontId="14" fillId="8" borderId="34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10" fontId="17" fillId="0" borderId="2" xfId="2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43" fontId="0" fillId="0" borderId="0" xfId="0" applyNumberFormat="1"/>
    <xf numFmtId="164" fontId="21" fillId="0" borderId="0" xfId="0" applyNumberFormat="1" applyFont="1"/>
    <xf numFmtId="9" fontId="14" fillId="0" borderId="8" xfId="20" applyFont="1" applyBorder="1" applyAlignment="1">
      <alignment horizontal="center" wrapText="1"/>
    </xf>
    <xf numFmtId="164" fontId="14" fillId="0" borderId="2" xfId="19" applyNumberFormat="1" applyFont="1" applyFill="1" applyBorder="1" applyAlignment="1">
      <alignment horizontal="center" vertical="center"/>
    </xf>
    <xf numFmtId="9" fontId="0" fillId="0" borderId="0" xfId="0" applyNumberFormat="1"/>
    <xf numFmtId="9" fontId="21" fillId="7" borderId="34" xfId="20" applyFont="1" applyFill="1" applyBorder="1" applyAlignment="1">
      <alignment horizontal="left"/>
    </xf>
    <xf numFmtId="9" fontId="17" fillId="31" borderId="34" xfId="2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33" xfId="0" applyFill="1" applyBorder="1" applyAlignment="1">
      <alignment horizontal="center"/>
    </xf>
    <xf numFmtId="0" fontId="15" fillId="0" borderId="35" xfId="25" applyFont="1" applyBorder="1" applyAlignment="1">
      <alignment horizontal="center" vertical="center"/>
    </xf>
    <xf numFmtId="0" fontId="15" fillId="0" borderId="36" xfId="25" applyFont="1" applyBorder="1" applyAlignment="1">
      <alignment horizontal="center" vertical="center"/>
    </xf>
    <xf numFmtId="0" fontId="15" fillId="0" borderId="8" xfId="25" applyFont="1" applyFill="1" applyBorder="1" applyAlignment="1">
      <alignment horizontal="center" vertical="center"/>
    </xf>
    <xf numFmtId="0" fontId="15" fillId="0" borderId="36" xfId="25" applyFont="1" applyFill="1" applyBorder="1" applyAlignment="1">
      <alignment horizontal="center" vertical="center"/>
    </xf>
    <xf numFmtId="164" fontId="15" fillId="0" borderId="35" xfId="26" applyNumberFormat="1" applyFont="1" applyBorder="1" applyAlignment="1">
      <alignment horizontal="center" vertical="center"/>
    </xf>
    <xf numFmtId="164" fontId="15" fillId="0" borderId="8" xfId="26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7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14" fillId="0" borderId="0" xfId="19" applyNumberFormat="1" applyFont="1" applyFill="1" applyAlignment="1">
      <alignment horizontal="right"/>
    </xf>
    <xf numFmtId="0" fontId="21" fillId="0" borderId="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quotePrefix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</cellXfs>
  <cellStyles count="48">
    <cellStyle name="Comma" xfId="19" builtinId="3"/>
    <cellStyle name="Comma 2" xfId="21"/>
    <cellStyle name="Comma 3" xfId="26"/>
    <cellStyle name="Comma 3 2" xfId="46"/>
    <cellStyle name="Currency 2" xfId="4"/>
    <cellStyle name="Normal" xfId="0" builtinId="0"/>
    <cellStyle name="Normal 10 2 4" xfId="24"/>
    <cellStyle name="Normal 11 2 2 3" xfId="1"/>
    <cellStyle name="Normal 2" xfId="2"/>
    <cellStyle name="Normal 2 2" xfId="5"/>
    <cellStyle name="Normal 2 2 2" xfId="13"/>
    <cellStyle name="Normal 2 2 2 2" xfId="38"/>
    <cellStyle name="Normal 2 2 3" xfId="30"/>
    <cellStyle name="Normal 2 3" xfId="7"/>
    <cellStyle name="Normal 2 3 2" xfId="15"/>
    <cellStyle name="Normal 2 3 2 2" xfId="40"/>
    <cellStyle name="Normal 2 3 3" xfId="32"/>
    <cellStyle name="Normal 2 4" xfId="9"/>
    <cellStyle name="Normal 2 4 2" xfId="17"/>
    <cellStyle name="Normal 2 4 2 2" xfId="42"/>
    <cellStyle name="Normal 2 4 3" xfId="34"/>
    <cellStyle name="Normal 2 5" xfId="11"/>
    <cellStyle name="Normal 2 5 2" xfId="36"/>
    <cellStyle name="Normal 2 6" xfId="28"/>
    <cellStyle name="Normal 3" xfId="23"/>
    <cellStyle name="Normal 3 2" xfId="44"/>
    <cellStyle name="Normal 4" xfId="25"/>
    <cellStyle name="Normal 4 2" xfId="45"/>
    <cellStyle name="Percent" xfId="20" builtinId="5"/>
    <cellStyle name="Percent 2" xfId="3"/>
    <cellStyle name="Percent 2 2" xfId="6"/>
    <cellStyle name="Percent 2 2 2" xfId="14"/>
    <cellStyle name="Percent 2 2 2 2" xfId="39"/>
    <cellStyle name="Percent 2 2 3" xfId="31"/>
    <cellStyle name="Percent 2 3" xfId="8"/>
    <cellStyle name="Percent 2 3 2" xfId="16"/>
    <cellStyle name="Percent 2 3 2 2" xfId="41"/>
    <cellStyle name="Percent 2 3 3" xfId="33"/>
    <cellStyle name="Percent 2 4" xfId="10"/>
    <cellStyle name="Percent 2 4 2" xfId="18"/>
    <cellStyle name="Percent 2 4 2 2" xfId="43"/>
    <cellStyle name="Percent 2 4 3" xfId="35"/>
    <cellStyle name="Percent 2 5" xfId="12"/>
    <cellStyle name="Percent 2 5 2" xfId="37"/>
    <cellStyle name="Percent 2 6" xfId="29"/>
    <cellStyle name="Percent 3" xfId="22"/>
    <cellStyle name="Percent 4" xfId="27"/>
    <cellStyle name="Percent 4 2" xfId="47"/>
  </cellStyles>
  <dxfs count="0"/>
  <tableStyles count="0" defaultTableStyle="TableStyleMedium2" defaultPivotStyle="PivotStyleLight16"/>
  <colors>
    <mruColors>
      <color rgb="FF33CCFF"/>
      <color rgb="FFDEDE1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309386</xdr:colOff>
      <xdr:row>3</xdr:row>
      <xdr:rowOff>26458</xdr:rowOff>
    </xdr:to>
    <xdr:pic>
      <xdr:nvPicPr>
        <xdr:cNvPr id="4" name="Picture 3" descr="UNM_HealthSystem_Horizontal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6525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374650</xdr:colOff>
      <xdr:row>3</xdr:row>
      <xdr:rowOff>15875</xdr:rowOff>
    </xdr:to>
    <xdr:pic>
      <xdr:nvPicPr>
        <xdr:cNvPr id="3" name="Picture 2" descr="UNM_HealthSystem_Horizontal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7" y="0"/>
          <a:ext cx="1404761" cy="502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374650</xdr:colOff>
      <xdr:row>3</xdr:row>
      <xdr:rowOff>15875</xdr:rowOff>
    </xdr:to>
    <xdr:pic>
      <xdr:nvPicPr>
        <xdr:cNvPr id="2" name="Picture 1" descr="UNM_HealthSystem_Horizontal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3350" cy="492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_Fin/MONTHEND/Accounting/FY%202012/P2_FY12_August/Final%20Reports_P2_August/AR%20_%20UNMMG%20ATB%20Oct%20FY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Wilcox/Desktop/Copy%20of%20Stats%20March_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fortescue/AppData/Local/Microsoft/Windows/INetCache/Content.Outlook/O3DWRLMD/ddd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Stats%20Jan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2/Statistics/FY2010/August%2009/Stats%20Aug_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NMMG%20Budget/ZMgmtCo/FY%202013/Mgmt%20Co%20Budget%20Summary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rodriguez/AppData/Local/Microsoft/Windows/INetCache/Content.Outlook/XT5JC5CS/FY20%20Budget%20-%20HS%20Stats%203-5-2019%20UNMH%20SRMC%20V6_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n/Downloads/Stats%20Jan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fortescue/Documents/Budget%20Tools/Backups/2-5-17/SRMC%20Medicine%20FY18%20Budget%20By%20Provide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Stats%20Apr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2/Statistics/FY2009/Dec%2008/Stats%20December_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NTNG/F%20P%20and%20A/Budget/FY2016/UNMH%20FY16%20%20Budgeted%20Stat%20&amp;%20FTE%20Summary%20P6%2001-31-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h1650\h2\Graphs\CMI\FY2000\jan_dec_comparis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2/Statistics/FY2009/January%2009/Stats%20January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UPA Summary 6 month"/>
      <sheetName val="Orthopaedics Detail by FSC"/>
      <sheetName val="Feb 10"/>
      <sheetName val="March 10"/>
      <sheetName val="April"/>
      <sheetName val="May10"/>
      <sheetName val="June 10"/>
      <sheetName val="Procedures"/>
      <sheetName val="Ortho"/>
      <sheetName val="Radiology"/>
      <sheetName val="july 09 atb"/>
      <sheetName val="JULY 2008"/>
      <sheetName val="August 09 atb"/>
      <sheetName val="CURRENT"/>
      <sheetName val="PRIOR"/>
      <sheetName val="July2009"/>
      <sheetName val="Prior Year"/>
      <sheetName val="Sept 09 atb"/>
      <sheetName val="june summary"/>
      <sheetName val="Total UPA Summary 3 mos"/>
      <sheetName val="Total UPA Summary by FSC"/>
      <sheetName val="FY10_11"/>
      <sheetName val="FY 2011"/>
      <sheetName val="FY 2005"/>
      <sheetName val="FY05_FY04 Comparison"/>
      <sheetName val="Current Year"/>
      <sheetName val="April 2009"/>
      <sheetName val="MAY9"/>
      <sheetName val="June 09"/>
      <sheetName val="PRIOR M"/>
      <sheetName val="summary with detail"/>
      <sheetName val="7_CALC AVG DAYS"/>
      <sheetName val="9_AR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C5">
            <v>40422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0-30</v>
          </cell>
          <cell r="G1" t="str">
            <v>31-60</v>
          </cell>
          <cell r="H1" t="str">
            <v>61-90</v>
          </cell>
          <cell r="I1" t="str">
            <v>91-120</v>
          </cell>
          <cell r="J1" t="str">
            <v>121-150</v>
          </cell>
          <cell r="K1" t="str">
            <v>151-180</v>
          </cell>
          <cell r="L1" t="str">
            <v>&gt;180</v>
          </cell>
          <cell r="M1" t="str">
            <v>Total</v>
          </cell>
          <cell r="N1" t="str">
            <v>over 90</v>
          </cell>
        </row>
        <row r="2">
          <cell r="D2" t="str">
            <v>SELF PAY</v>
          </cell>
          <cell r="E2" t="str">
            <v>NEW A/R</v>
          </cell>
          <cell r="F2">
            <v>1724293.2</v>
          </cell>
          <cell r="G2">
            <v>1291499.44</v>
          </cell>
          <cell r="H2">
            <v>615025.84</v>
          </cell>
          <cell r="I2">
            <v>346930.6</v>
          </cell>
          <cell r="J2">
            <v>132628.87</v>
          </cell>
          <cell r="K2">
            <v>86633.39</v>
          </cell>
          <cell r="L2">
            <v>204676.07</v>
          </cell>
          <cell r="M2">
            <v>4401687.41</v>
          </cell>
          <cell r="N2">
            <v>770868.92999999993</v>
          </cell>
        </row>
        <row r="3">
          <cell r="D3" t="str">
            <v>DO NOT BILL</v>
          </cell>
          <cell r="E3" t="str">
            <v>NEW A/R</v>
          </cell>
          <cell r="F3">
            <v>-5020.6400000000003</v>
          </cell>
          <cell r="G3">
            <v>-1854.68</v>
          </cell>
          <cell r="H3">
            <v>-2829.6</v>
          </cell>
          <cell r="I3">
            <v>-9445.74</v>
          </cell>
          <cell r="J3">
            <v>-2877.04</v>
          </cell>
          <cell r="K3">
            <v>-2031.1</v>
          </cell>
          <cell r="L3">
            <v>-39041.160000000003</v>
          </cell>
          <cell r="M3">
            <v>-63099.960000000006</v>
          </cell>
          <cell r="N3">
            <v>-53395.040000000001</v>
          </cell>
        </row>
        <row r="4">
          <cell r="D4" t="str">
            <v>LEGAL</v>
          </cell>
          <cell r="E4" t="str">
            <v>NEW A/R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6271.08</v>
          </cell>
          <cell r="M4">
            <v>6271.08</v>
          </cell>
          <cell r="N4">
            <v>6271.08</v>
          </cell>
        </row>
        <row r="5">
          <cell r="D5" t="str">
            <v>CREDIT LETTER SENT</v>
          </cell>
          <cell r="E5" t="str">
            <v>NEW A/R</v>
          </cell>
          <cell r="F5">
            <v>20842.759999999998</v>
          </cell>
          <cell r="G5">
            <v>112031.41</v>
          </cell>
          <cell r="H5">
            <v>215789.72</v>
          </cell>
          <cell r="I5">
            <v>170093.02</v>
          </cell>
          <cell r="J5">
            <v>35270.660000000003</v>
          </cell>
          <cell r="K5">
            <v>23022.61</v>
          </cell>
          <cell r="L5">
            <v>51593.74</v>
          </cell>
          <cell r="M5">
            <v>628643.92000000004</v>
          </cell>
          <cell r="N5">
            <v>279980.02999999997</v>
          </cell>
        </row>
        <row r="6">
          <cell r="D6" t="str">
            <v>UNMH HOLD</v>
          </cell>
          <cell r="E6" t="str">
            <v>NEW A/R</v>
          </cell>
          <cell r="F6">
            <v>154</v>
          </cell>
          <cell r="G6">
            <v>0</v>
          </cell>
          <cell r="H6">
            <v>122.31</v>
          </cell>
          <cell r="I6">
            <v>113.5</v>
          </cell>
          <cell r="J6">
            <v>100</v>
          </cell>
          <cell r="K6">
            <v>704</v>
          </cell>
          <cell r="L6">
            <v>526.36</v>
          </cell>
          <cell r="M6">
            <v>1720.17</v>
          </cell>
          <cell r="N6">
            <v>1443.8600000000001</v>
          </cell>
        </row>
        <row r="7">
          <cell r="D7" t="str">
            <v>WORKERS COMPENSATION</v>
          </cell>
          <cell r="E7" t="str">
            <v>NEW A/R</v>
          </cell>
          <cell r="F7">
            <v>257103</v>
          </cell>
          <cell r="G7">
            <v>109374.82</v>
          </cell>
          <cell r="H7">
            <v>53265.98</v>
          </cell>
          <cell r="I7">
            <v>12088.31</v>
          </cell>
          <cell r="J7">
            <v>6413.25</v>
          </cell>
          <cell r="K7">
            <v>10681.5</v>
          </cell>
          <cell r="L7">
            <v>1890.3</v>
          </cell>
          <cell r="M7">
            <v>450817.16</v>
          </cell>
          <cell r="N7">
            <v>31073.359999999997</v>
          </cell>
        </row>
        <row r="8">
          <cell r="D8" t="str">
            <v>IHS/PHS NO PO</v>
          </cell>
          <cell r="E8" t="str">
            <v>NEW A/R</v>
          </cell>
          <cell r="F8">
            <v>491127.53</v>
          </cell>
          <cell r="G8">
            <v>340355.12</v>
          </cell>
          <cell r="H8">
            <v>135927.65</v>
          </cell>
          <cell r="I8">
            <v>28990.42</v>
          </cell>
          <cell r="J8">
            <v>9549.99</v>
          </cell>
          <cell r="K8">
            <v>4870.38</v>
          </cell>
          <cell r="L8">
            <v>-8499.07</v>
          </cell>
          <cell r="M8">
            <v>1002322.0200000001</v>
          </cell>
          <cell r="N8">
            <v>34911.719999999994</v>
          </cell>
        </row>
        <row r="9">
          <cell r="D9" t="str">
            <v>IHS/PHS APPEAL FSC</v>
          </cell>
          <cell r="E9" t="str">
            <v>NEW A/R</v>
          </cell>
          <cell r="F9">
            <v>0</v>
          </cell>
          <cell r="G9">
            <v>175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4490.2700000000004</v>
          </cell>
          <cell r="M9">
            <v>4665.2700000000004</v>
          </cell>
          <cell r="N9">
            <v>4490.2700000000004</v>
          </cell>
        </row>
        <row r="10">
          <cell r="D10" t="str">
            <v>SECTION 1011</v>
          </cell>
          <cell r="E10" t="str">
            <v>NEW A/R</v>
          </cell>
          <cell r="F10">
            <v>0</v>
          </cell>
          <cell r="G10">
            <v>239.8</v>
          </cell>
          <cell r="H10">
            <v>522</v>
          </cell>
          <cell r="I10">
            <v>21268.85</v>
          </cell>
          <cell r="J10">
            <v>56436.1</v>
          </cell>
          <cell r="K10">
            <v>42916.85</v>
          </cell>
          <cell r="L10">
            <v>169246.03</v>
          </cell>
          <cell r="M10">
            <v>290629.63</v>
          </cell>
          <cell r="N10">
            <v>289867.82999999996</v>
          </cell>
        </row>
        <row r="11">
          <cell r="D11" t="str">
            <v>IHS/PHS FILED</v>
          </cell>
          <cell r="E11" t="str">
            <v>NEW A/R</v>
          </cell>
          <cell r="F11">
            <v>28674.91</v>
          </cell>
          <cell r="G11">
            <v>75953.11</v>
          </cell>
          <cell r="H11">
            <v>92933.54</v>
          </cell>
          <cell r="I11">
            <v>55188.66</v>
          </cell>
          <cell r="J11">
            <v>48763.35</v>
          </cell>
          <cell r="K11">
            <v>29627.66</v>
          </cell>
          <cell r="L11">
            <v>31321.65</v>
          </cell>
          <cell r="M11">
            <v>362462.88</v>
          </cell>
          <cell r="N11">
            <v>164901.32</v>
          </cell>
        </row>
        <row r="12">
          <cell r="D12" t="str">
            <v>MEDICAID</v>
          </cell>
          <cell r="E12" t="str">
            <v>NEW A/R</v>
          </cell>
          <cell r="F12">
            <v>789868.93</v>
          </cell>
          <cell r="G12">
            <v>51918.5</v>
          </cell>
          <cell r="H12">
            <v>8447.09</v>
          </cell>
          <cell r="I12">
            <v>725.36</v>
          </cell>
          <cell r="J12">
            <v>18267.62</v>
          </cell>
          <cell r="K12">
            <v>2096.58</v>
          </cell>
          <cell r="L12">
            <v>-7515.23</v>
          </cell>
          <cell r="M12">
            <v>863808.85</v>
          </cell>
          <cell r="N12">
            <v>13574.329999999998</v>
          </cell>
        </row>
        <row r="13">
          <cell r="D13" t="str">
            <v>MEDICAID APPEAL FSC</v>
          </cell>
          <cell r="E13" t="str">
            <v>NEW A/R</v>
          </cell>
          <cell r="F13">
            <v>20546</v>
          </cell>
          <cell r="G13">
            <v>40863</v>
          </cell>
          <cell r="H13">
            <v>46993</v>
          </cell>
          <cell r="I13">
            <v>29416.03</v>
          </cell>
          <cell r="J13">
            <v>24634</v>
          </cell>
          <cell r="K13">
            <v>12049.2</v>
          </cell>
          <cell r="L13">
            <v>26873.65</v>
          </cell>
          <cell r="M13">
            <v>201374.88</v>
          </cell>
          <cell r="N13">
            <v>92972.88</v>
          </cell>
        </row>
        <row r="14">
          <cell r="D14" t="str">
            <v>MEDICAID AFTER MEDICARE APPEAL</v>
          </cell>
          <cell r="E14" t="str">
            <v>NEW A/R</v>
          </cell>
          <cell r="F14">
            <v>0</v>
          </cell>
          <cell r="G14">
            <v>289.47000000000003</v>
          </cell>
          <cell r="H14">
            <v>901.73</v>
          </cell>
          <cell r="I14">
            <v>30.05</v>
          </cell>
          <cell r="J14">
            <v>199.49</v>
          </cell>
          <cell r="K14">
            <v>400.86</v>
          </cell>
          <cell r="L14">
            <v>1137.3399999999999</v>
          </cell>
          <cell r="M14">
            <v>2958.9399999999996</v>
          </cell>
          <cell r="N14">
            <v>1767.74</v>
          </cell>
        </row>
        <row r="15">
          <cell r="D15" t="str">
            <v>MEDICAID AFTER MEDICARE</v>
          </cell>
          <cell r="E15" t="str">
            <v>NEW A/R</v>
          </cell>
          <cell r="F15">
            <v>15894.03</v>
          </cell>
          <cell r="G15">
            <v>3314.4</v>
          </cell>
          <cell r="H15">
            <v>1448.1</v>
          </cell>
          <cell r="I15">
            <v>798.96</v>
          </cell>
          <cell r="J15">
            <v>886.23</v>
          </cell>
          <cell r="K15">
            <v>455.91</v>
          </cell>
          <cell r="L15">
            <v>-4114.43</v>
          </cell>
          <cell r="M15">
            <v>18683.199999999997</v>
          </cell>
          <cell r="N15">
            <v>-1973.3300000000004</v>
          </cell>
        </row>
        <row r="16">
          <cell r="D16" t="str">
            <v>MEDICAID AFTER INSURANCE</v>
          </cell>
          <cell r="E16" t="str">
            <v>NEW A/R</v>
          </cell>
          <cell r="F16">
            <v>1149.49</v>
          </cell>
          <cell r="G16">
            <v>2860.43</v>
          </cell>
          <cell r="H16">
            <v>2222.87</v>
          </cell>
          <cell r="I16">
            <v>806.38</v>
          </cell>
          <cell r="J16">
            <v>71.66</v>
          </cell>
          <cell r="K16">
            <v>63.63</v>
          </cell>
          <cell r="L16">
            <v>1077.93</v>
          </cell>
          <cell r="M16">
            <v>8252.39</v>
          </cell>
          <cell r="N16">
            <v>2019.6</v>
          </cell>
        </row>
        <row r="17">
          <cell r="D17" t="str">
            <v>MEDICAID AFTER INSURANCE APPEAL</v>
          </cell>
          <cell r="E17" t="str">
            <v>NEW A/R</v>
          </cell>
          <cell r="F17">
            <v>0</v>
          </cell>
          <cell r="G17">
            <v>0</v>
          </cell>
          <cell r="H17">
            <v>176.76</v>
          </cell>
          <cell r="I17">
            <v>40</v>
          </cell>
          <cell r="J17">
            <v>68.599999999999994</v>
          </cell>
          <cell r="K17">
            <v>132.69</v>
          </cell>
          <cell r="L17">
            <v>363.54</v>
          </cell>
          <cell r="M17">
            <v>781.59</v>
          </cell>
          <cell r="N17">
            <v>604.83000000000004</v>
          </cell>
        </row>
        <row r="18">
          <cell r="D18" t="str">
            <v>MEDICAID PENDING/WO</v>
          </cell>
          <cell r="E18" t="str">
            <v>NEW A/R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 t="str">
            <v>PHP SALUD APPEAL</v>
          </cell>
          <cell r="E19" t="str">
            <v>NEW A/R</v>
          </cell>
          <cell r="F19">
            <v>26619</v>
          </cell>
          <cell r="G19">
            <v>15743</v>
          </cell>
          <cell r="H19">
            <v>6063.77</v>
          </cell>
          <cell r="I19">
            <v>7674</v>
          </cell>
          <cell r="J19">
            <v>2092</v>
          </cell>
          <cell r="K19">
            <v>1535</v>
          </cell>
          <cell r="L19">
            <v>14506.44</v>
          </cell>
          <cell r="M19">
            <v>74233.210000000006</v>
          </cell>
          <cell r="N19">
            <v>25807.440000000002</v>
          </cell>
        </row>
        <row r="20">
          <cell r="D20" t="str">
            <v>MOLINA HC OF NM APPEAL</v>
          </cell>
          <cell r="E20" t="str">
            <v>NEW A/R</v>
          </cell>
          <cell r="F20">
            <v>20498</v>
          </cell>
          <cell r="G20">
            <v>37346.6</v>
          </cell>
          <cell r="H20">
            <v>25645.87</v>
          </cell>
          <cell r="I20">
            <v>15306</v>
          </cell>
          <cell r="J20">
            <v>3149</v>
          </cell>
          <cell r="K20">
            <v>2009.4</v>
          </cell>
          <cell r="L20">
            <v>6887.14</v>
          </cell>
          <cell r="M20">
            <v>110842.01</v>
          </cell>
          <cell r="N20">
            <v>27351.54</v>
          </cell>
        </row>
        <row r="21">
          <cell r="D21" t="str">
            <v>RECOUPS</v>
          </cell>
          <cell r="E21" t="str">
            <v>NEW A/R</v>
          </cell>
          <cell r="F21">
            <v>7.37</v>
          </cell>
          <cell r="G21">
            <v>539.16999999999996</v>
          </cell>
          <cell r="H21">
            <v>979.9</v>
          </cell>
          <cell r="I21">
            <v>607</v>
          </cell>
          <cell r="J21">
            <v>539.78</v>
          </cell>
          <cell r="K21">
            <v>354.05</v>
          </cell>
          <cell r="L21">
            <v>10533.69</v>
          </cell>
          <cell r="M21">
            <v>13560.960000000001</v>
          </cell>
          <cell r="N21">
            <v>12034.52</v>
          </cell>
        </row>
        <row r="22">
          <cell r="D22" t="str">
            <v>LOVELACE SALUD APPEAL</v>
          </cell>
          <cell r="E22" t="str">
            <v>NEW A/R</v>
          </cell>
          <cell r="F22">
            <v>12507</v>
          </cell>
          <cell r="G22">
            <v>13821</v>
          </cell>
          <cell r="H22">
            <v>35734</v>
          </cell>
          <cell r="I22">
            <v>11475</v>
          </cell>
          <cell r="J22">
            <v>15459</v>
          </cell>
          <cell r="K22">
            <v>12701</v>
          </cell>
          <cell r="L22">
            <v>17493</v>
          </cell>
          <cell r="M22">
            <v>119190</v>
          </cell>
          <cell r="N22">
            <v>57128</v>
          </cell>
        </row>
        <row r="23">
          <cell r="D23" t="str">
            <v>MOLINA HEALTHCARE OF NM</v>
          </cell>
          <cell r="E23" t="str">
            <v>NEW A/R</v>
          </cell>
          <cell r="F23">
            <v>909011.21</v>
          </cell>
          <cell r="G23">
            <v>50195.55</v>
          </cell>
          <cell r="H23">
            <v>12017.45</v>
          </cell>
          <cell r="I23">
            <v>-291.77</v>
          </cell>
          <cell r="J23">
            <v>422.99</v>
          </cell>
          <cell r="K23">
            <v>4424.3599999999997</v>
          </cell>
          <cell r="L23">
            <v>-3782.07</v>
          </cell>
          <cell r="M23">
            <v>971997.72</v>
          </cell>
          <cell r="N23">
            <v>773.50999999999976</v>
          </cell>
        </row>
        <row r="24">
          <cell r="D24" t="str">
            <v>SALUD PRESBYTERIAN</v>
          </cell>
          <cell r="E24" t="str">
            <v>NEW A/R</v>
          </cell>
          <cell r="F24">
            <v>990754.36</v>
          </cell>
          <cell r="G24">
            <v>69070.600000000006</v>
          </cell>
          <cell r="H24">
            <v>27924.27</v>
          </cell>
          <cell r="I24">
            <v>17524.810000000001</v>
          </cell>
          <cell r="J24">
            <v>11694.16</v>
          </cell>
          <cell r="K24">
            <v>4171.53</v>
          </cell>
          <cell r="L24">
            <v>-11156.27</v>
          </cell>
          <cell r="M24">
            <v>1109983.46</v>
          </cell>
          <cell r="N24">
            <v>22234.23</v>
          </cell>
        </row>
        <row r="25">
          <cell r="D25" t="str">
            <v>SALUD LOVELACE</v>
          </cell>
          <cell r="E25" t="str">
            <v>NEW A/R</v>
          </cell>
          <cell r="F25">
            <v>583129.04</v>
          </cell>
          <cell r="G25">
            <v>21139.43</v>
          </cell>
          <cell r="H25">
            <v>3002.03</v>
          </cell>
          <cell r="I25">
            <v>1261.02</v>
          </cell>
          <cell r="J25">
            <v>2474</v>
          </cell>
          <cell r="K25">
            <v>2491</v>
          </cell>
          <cell r="L25">
            <v>-13866.47</v>
          </cell>
          <cell r="M25">
            <v>599630.05000000016</v>
          </cell>
          <cell r="N25">
            <v>-7640.4499999999989</v>
          </cell>
        </row>
        <row r="26">
          <cell r="D26" t="str">
            <v>MEDICAID EMSA</v>
          </cell>
          <cell r="E26" t="str">
            <v>NEW A/R</v>
          </cell>
          <cell r="F26">
            <v>85647.05</v>
          </cell>
          <cell r="G26">
            <v>179639.2</v>
          </cell>
          <cell r="H26">
            <v>75148.75</v>
          </cell>
          <cell r="I26">
            <v>49155.1</v>
          </cell>
          <cell r="J26">
            <v>25470.6</v>
          </cell>
          <cell r="K26">
            <v>13213.75</v>
          </cell>
          <cell r="L26">
            <v>3525.65</v>
          </cell>
          <cell r="M26">
            <v>431800.1</v>
          </cell>
          <cell r="N26">
            <v>91365.099999999991</v>
          </cell>
        </row>
        <row r="27">
          <cell r="D27" t="str">
            <v>MEDICAID EMSA APPEAL</v>
          </cell>
          <cell r="E27" t="str">
            <v>NEW A/R</v>
          </cell>
          <cell r="F27">
            <v>0</v>
          </cell>
          <cell r="G27">
            <v>0</v>
          </cell>
          <cell r="H27">
            <v>115</v>
          </cell>
          <cell r="I27">
            <v>9816</v>
          </cell>
          <cell r="J27">
            <v>765</v>
          </cell>
          <cell r="K27">
            <v>2531</v>
          </cell>
          <cell r="L27">
            <v>1166.4000000000001</v>
          </cell>
          <cell r="M27">
            <v>14393.4</v>
          </cell>
          <cell r="N27">
            <v>14278.4</v>
          </cell>
        </row>
        <row r="28">
          <cell r="D28" t="str">
            <v>VO COORDINATED SERVICES</v>
          </cell>
          <cell r="E28" t="str">
            <v>NEW A/R</v>
          </cell>
          <cell r="F28">
            <v>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-1454.84</v>
          </cell>
          <cell r="M28">
            <v>-1419.84</v>
          </cell>
          <cell r="N28">
            <v>-1454.84</v>
          </cell>
        </row>
        <row r="29">
          <cell r="D29" t="str">
            <v>VO COORDINATED SERVICES APPEAL</v>
          </cell>
          <cell r="E29" t="str">
            <v>NEW A/R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-389.7</v>
          </cell>
          <cell r="M29">
            <v>-389.7</v>
          </cell>
          <cell r="N29">
            <v>-389.7</v>
          </cell>
        </row>
        <row r="30">
          <cell r="D30" t="str">
            <v>VO MANAGED CARE</v>
          </cell>
          <cell r="E30" t="str">
            <v>NEW A/R</v>
          </cell>
          <cell r="F30">
            <v>31.5</v>
          </cell>
          <cell r="G30">
            <v>14.59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-7019.32</v>
          </cell>
          <cell r="M30">
            <v>-6973.23</v>
          </cell>
          <cell r="N30">
            <v>-7019.32</v>
          </cell>
        </row>
        <row r="31">
          <cell r="D31" t="str">
            <v>VO MANAGED CARE APPEAL</v>
          </cell>
          <cell r="E31" t="str">
            <v>NEW A/R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-703.87</v>
          </cell>
          <cell r="M31">
            <v>-703.87</v>
          </cell>
          <cell r="N31">
            <v>-703.87</v>
          </cell>
        </row>
        <row r="32">
          <cell r="D32" t="str">
            <v>SPECIAL PROJECT VO</v>
          </cell>
          <cell r="E32" t="str">
            <v>NEW A/R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-326</v>
          </cell>
          <cell r="M32">
            <v>-326</v>
          </cell>
          <cell r="N32">
            <v>-326</v>
          </cell>
        </row>
        <row r="33">
          <cell r="D33" t="str">
            <v>SPECIAL PROJECT MOLINA SALUD</v>
          </cell>
          <cell r="E33" t="str">
            <v>NEW A/R</v>
          </cell>
          <cell r="F33">
            <v>0</v>
          </cell>
          <cell r="G33">
            <v>0</v>
          </cell>
          <cell r="H33">
            <v>293</v>
          </cell>
          <cell r="I33">
            <v>516</v>
          </cell>
          <cell r="J33">
            <v>0</v>
          </cell>
          <cell r="K33">
            <v>0</v>
          </cell>
          <cell r="L33">
            <v>425</v>
          </cell>
          <cell r="M33">
            <v>1234</v>
          </cell>
          <cell r="N33">
            <v>941</v>
          </cell>
        </row>
        <row r="34">
          <cell r="D34" t="str">
            <v>SPECIAL PROJECT PRESBYTERIAN SALUD</v>
          </cell>
          <cell r="E34" t="str">
            <v>NEW A/R</v>
          </cell>
          <cell r="F34">
            <v>0</v>
          </cell>
          <cell r="G34">
            <v>333</v>
          </cell>
          <cell r="H34">
            <v>2379.0500000000002</v>
          </cell>
          <cell r="I34">
            <v>1517</v>
          </cell>
          <cell r="J34">
            <v>2157</v>
          </cell>
          <cell r="K34">
            <v>1452</v>
          </cell>
          <cell r="L34">
            <v>11593.21</v>
          </cell>
          <cell r="M34">
            <v>19431.259999999998</v>
          </cell>
          <cell r="N34">
            <v>16719.21</v>
          </cell>
        </row>
        <row r="35">
          <cell r="D35" t="str">
            <v>SPECIAL PROJECT LOVELACE SALUD</v>
          </cell>
          <cell r="E35" t="str">
            <v>NEW A/R</v>
          </cell>
          <cell r="F35">
            <v>474</v>
          </cell>
          <cell r="G35">
            <v>358</v>
          </cell>
          <cell r="H35">
            <v>4632</v>
          </cell>
          <cell r="I35">
            <v>12017</v>
          </cell>
          <cell r="J35">
            <v>9390.4500000000007</v>
          </cell>
          <cell r="K35">
            <v>23199.66</v>
          </cell>
          <cell r="L35">
            <v>76794.429999999993</v>
          </cell>
          <cell r="M35">
            <v>126865.54</v>
          </cell>
          <cell r="N35">
            <v>121401.54</v>
          </cell>
        </row>
        <row r="36">
          <cell r="D36" t="str">
            <v>SPECIAL PROJECT MEDICAID</v>
          </cell>
          <cell r="E36" t="str">
            <v>NEW A/R</v>
          </cell>
          <cell r="F36">
            <v>0</v>
          </cell>
          <cell r="G36">
            <v>0</v>
          </cell>
          <cell r="H36">
            <v>0</v>
          </cell>
          <cell r="I36">
            <v>30</v>
          </cell>
          <cell r="J36">
            <v>0</v>
          </cell>
          <cell r="K36">
            <v>161.91</v>
          </cell>
          <cell r="L36">
            <v>16344.2</v>
          </cell>
          <cell r="M36">
            <v>16536.11</v>
          </cell>
          <cell r="N36">
            <v>16536.11</v>
          </cell>
        </row>
        <row r="37">
          <cell r="D37" t="str">
            <v>MEDICAID; OUT OF STATE</v>
          </cell>
          <cell r="E37" t="str">
            <v>NEW A/R</v>
          </cell>
          <cell r="F37">
            <v>128476.42</v>
          </cell>
          <cell r="G37">
            <v>107551.59</v>
          </cell>
          <cell r="H37">
            <v>30691.3</v>
          </cell>
          <cell r="I37">
            <v>28911.05</v>
          </cell>
          <cell r="J37">
            <v>11018.92</v>
          </cell>
          <cell r="K37">
            <v>10449.17</v>
          </cell>
          <cell r="L37">
            <v>101392.98</v>
          </cell>
          <cell r="M37">
            <v>418491.42999999993</v>
          </cell>
          <cell r="N37">
            <v>151772.12</v>
          </cell>
        </row>
        <row r="38">
          <cell r="D38" t="str">
            <v>MEDICAID OUT/STATE APPEAL</v>
          </cell>
          <cell r="E38" t="str">
            <v>NEW A/R</v>
          </cell>
          <cell r="F38">
            <v>23988</v>
          </cell>
          <cell r="G38">
            <v>14094.03</v>
          </cell>
          <cell r="H38">
            <v>15631.92</v>
          </cell>
          <cell r="I38">
            <v>57351.11</v>
          </cell>
          <cell r="J38">
            <v>28232.67</v>
          </cell>
          <cell r="K38">
            <v>17072.16</v>
          </cell>
          <cell r="L38">
            <v>74835.710000000006</v>
          </cell>
          <cell r="M38">
            <v>231205.59999999998</v>
          </cell>
          <cell r="N38">
            <v>177491.65000000002</v>
          </cell>
        </row>
        <row r="39">
          <cell r="D39" t="str">
            <v>AMERIGROUP MEDICAID</v>
          </cell>
          <cell r="E39" t="str">
            <v>NEW A/R</v>
          </cell>
          <cell r="F39">
            <v>101886.28</v>
          </cell>
          <cell r="G39">
            <v>3392.59</v>
          </cell>
          <cell r="H39">
            <v>2338.1799999999998</v>
          </cell>
          <cell r="I39">
            <v>911.15</v>
          </cell>
          <cell r="J39">
            <v>609.62</v>
          </cell>
          <cell r="K39">
            <v>809.78</v>
          </cell>
          <cell r="L39">
            <v>-16588.240000000002</v>
          </cell>
          <cell r="M39">
            <v>93359.359999999971</v>
          </cell>
          <cell r="N39">
            <v>-14257.690000000002</v>
          </cell>
        </row>
        <row r="40">
          <cell r="D40" t="str">
            <v>EVERCARE MEDICAID</v>
          </cell>
          <cell r="E40" t="str">
            <v>NEW A/R</v>
          </cell>
          <cell r="F40">
            <v>111552.87</v>
          </cell>
          <cell r="G40">
            <v>24393.23</v>
          </cell>
          <cell r="H40">
            <v>11392.73</v>
          </cell>
          <cell r="I40">
            <v>4270.2</v>
          </cell>
          <cell r="J40">
            <v>2456.02</v>
          </cell>
          <cell r="K40">
            <v>-50.18</v>
          </cell>
          <cell r="L40">
            <v>4046.19</v>
          </cell>
          <cell r="M40">
            <v>158061.06000000003</v>
          </cell>
          <cell r="N40">
            <v>10722.23</v>
          </cell>
        </row>
        <row r="41">
          <cell r="D41" t="str">
            <v>AMERIGROUP MEDICAID APPEAL</v>
          </cell>
          <cell r="E41" t="str">
            <v>NEW A/R</v>
          </cell>
          <cell r="F41">
            <v>0</v>
          </cell>
          <cell r="G41">
            <v>888.87</v>
          </cell>
          <cell r="H41">
            <v>823.06</v>
          </cell>
          <cell r="I41">
            <v>22.48</v>
          </cell>
          <cell r="J41">
            <v>-310</v>
          </cell>
          <cell r="K41">
            <v>2386</v>
          </cell>
          <cell r="L41">
            <v>56.8</v>
          </cell>
          <cell r="M41">
            <v>3867.21</v>
          </cell>
          <cell r="N41">
            <v>2155.2800000000002</v>
          </cell>
        </row>
        <row r="42">
          <cell r="D42" t="str">
            <v>EVERCARE MEDICAID APPEAL</v>
          </cell>
          <cell r="E42" t="str">
            <v>NEW A/R</v>
          </cell>
          <cell r="F42">
            <v>0</v>
          </cell>
          <cell r="G42">
            <v>6149.87</v>
          </cell>
          <cell r="H42">
            <v>6027.12</v>
          </cell>
          <cell r="I42">
            <v>3405.39</v>
          </cell>
          <cell r="J42">
            <v>1120.8900000000001</v>
          </cell>
          <cell r="K42">
            <v>4932.84</v>
          </cell>
          <cell r="L42">
            <v>6340.37</v>
          </cell>
          <cell r="M42">
            <v>27976.48</v>
          </cell>
          <cell r="N42">
            <v>15799.489999999998</v>
          </cell>
        </row>
        <row r="43">
          <cell r="D43" t="str">
            <v>SPECIAL PROJECT AMERIGROUP</v>
          </cell>
          <cell r="E43" t="str">
            <v>NEW A/R</v>
          </cell>
          <cell r="F43">
            <v>7833.25</v>
          </cell>
          <cell r="G43">
            <v>16004.32</v>
          </cell>
          <cell r="H43">
            <v>15499.81</v>
          </cell>
          <cell r="I43">
            <v>8628.9699999999993</v>
          </cell>
          <cell r="J43">
            <v>9284.9599999999991</v>
          </cell>
          <cell r="K43">
            <v>15378.26</v>
          </cell>
          <cell r="L43">
            <v>7386.45</v>
          </cell>
          <cell r="M43">
            <v>80016.01999999999</v>
          </cell>
          <cell r="N43">
            <v>40678.639999999999</v>
          </cell>
        </row>
        <row r="44">
          <cell r="D44" t="str">
            <v>BLUE CROSS SALUD</v>
          </cell>
          <cell r="E44" t="str">
            <v>NEW A/R</v>
          </cell>
          <cell r="F44">
            <v>169723.32</v>
          </cell>
          <cell r="G44">
            <v>10466.17</v>
          </cell>
          <cell r="H44">
            <v>802.2</v>
          </cell>
          <cell r="I44">
            <v>204</v>
          </cell>
          <cell r="J44">
            <v>265.35000000000002</v>
          </cell>
          <cell r="K44">
            <v>0</v>
          </cell>
          <cell r="L44">
            <v>561.91999999999996</v>
          </cell>
          <cell r="M44">
            <v>182022.96000000005</v>
          </cell>
          <cell r="N44">
            <v>1031.27</v>
          </cell>
        </row>
        <row r="45">
          <cell r="D45" t="str">
            <v>BLUE CROSS SALUD APPEAL</v>
          </cell>
          <cell r="E45" t="str">
            <v>NEW A/R</v>
          </cell>
          <cell r="F45">
            <v>1417</v>
          </cell>
          <cell r="G45">
            <v>18224</v>
          </cell>
          <cell r="H45">
            <v>2655.79</v>
          </cell>
          <cell r="I45">
            <v>131</v>
          </cell>
          <cell r="J45">
            <v>1274</v>
          </cell>
          <cell r="K45">
            <v>0</v>
          </cell>
          <cell r="L45">
            <v>592.04</v>
          </cell>
          <cell r="M45">
            <v>24293.83</v>
          </cell>
          <cell r="N45">
            <v>1997.04</v>
          </cell>
        </row>
        <row r="46">
          <cell r="D46" t="str">
            <v>OPTUM COORDINATED SERVICES</v>
          </cell>
          <cell r="E46" t="str">
            <v>NEW A/R</v>
          </cell>
          <cell r="F46">
            <v>21681</v>
          </cell>
          <cell r="G46">
            <v>4441.3</v>
          </cell>
          <cell r="H46">
            <v>0.74</v>
          </cell>
          <cell r="I46">
            <v>342.84</v>
          </cell>
          <cell r="J46">
            <v>0</v>
          </cell>
          <cell r="K46">
            <v>0</v>
          </cell>
          <cell r="L46">
            <v>1140.72</v>
          </cell>
          <cell r="M46">
            <v>27606.600000000002</v>
          </cell>
          <cell r="N46">
            <v>1483.56</v>
          </cell>
        </row>
        <row r="47">
          <cell r="D47" t="str">
            <v>OPTUM COORDINATED SERVICES APPEAL</v>
          </cell>
          <cell r="E47" t="str">
            <v>NEW A/R</v>
          </cell>
          <cell r="F47">
            <v>15</v>
          </cell>
          <cell r="G47">
            <v>0</v>
          </cell>
          <cell r="H47">
            <v>30.22</v>
          </cell>
          <cell r="I47">
            <v>261.67</v>
          </cell>
          <cell r="J47">
            <v>111</v>
          </cell>
          <cell r="K47">
            <v>0</v>
          </cell>
          <cell r="L47">
            <v>234</v>
          </cell>
          <cell r="M47">
            <v>651.89</v>
          </cell>
          <cell r="N47">
            <v>606.67000000000007</v>
          </cell>
        </row>
        <row r="48">
          <cell r="D48" t="str">
            <v>OPTUM MANAGED CARE</v>
          </cell>
          <cell r="E48" t="str">
            <v>NEW A/R</v>
          </cell>
          <cell r="F48">
            <v>165843.76999999999</v>
          </cell>
          <cell r="G48">
            <v>1070.6300000000001</v>
          </cell>
          <cell r="H48">
            <v>498.45</v>
          </cell>
          <cell r="I48">
            <v>1514.91</v>
          </cell>
          <cell r="J48">
            <v>104</v>
          </cell>
          <cell r="K48">
            <v>0</v>
          </cell>
          <cell r="L48">
            <v>-4253.07</v>
          </cell>
          <cell r="M48">
            <v>164778.69</v>
          </cell>
          <cell r="N48">
            <v>-2634.16</v>
          </cell>
        </row>
        <row r="49">
          <cell r="D49" t="str">
            <v>OPTUM MANAGED CARE APPEAL</v>
          </cell>
          <cell r="E49" t="str">
            <v>NEW A/R</v>
          </cell>
          <cell r="F49">
            <v>4147</v>
          </cell>
          <cell r="G49">
            <v>5516</v>
          </cell>
          <cell r="H49">
            <v>3167.03</v>
          </cell>
          <cell r="I49">
            <v>2761</v>
          </cell>
          <cell r="J49">
            <v>547</v>
          </cell>
          <cell r="K49">
            <v>431.9</v>
          </cell>
          <cell r="L49">
            <v>988.22</v>
          </cell>
          <cell r="M49">
            <v>17558.150000000001</v>
          </cell>
          <cell r="N49">
            <v>4728.12</v>
          </cell>
        </row>
        <row r="50">
          <cell r="D50" t="str">
            <v>SPECIAL PROJECT OPTUM</v>
          </cell>
          <cell r="E50" t="str">
            <v>NEW A/R</v>
          </cell>
          <cell r="F50">
            <v>0</v>
          </cell>
          <cell r="G50">
            <v>2781</v>
          </cell>
          <cell r="H50">
            <v>7563</v>
          </cell>
          <cell r="I50">
            <v>6565</v>
          </cell>
          <cell r="J50">
            <v>2403.9499999999998</v>
          </cell>
          <cell r="K50">
            <v>6649.23</v>
          </cell>
          <cell r="L50">
            <v>46477.75</v>
          </cell>
          <cell r="M50">
            <v>72439.929999999993</v>
          </cell>
          <cell r="N50">
            <v>62095.93</v>
          </cell>
        </row>
        <row r="51">
          <cell r="D51" t="str">
            <v>FREE SERVICE BERNALILLO COUNTY</v>
          </cell>
          <cell r="E51" t="str">
            <v>NEW A/R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-35.92</v>
          </cell>
          <cell r="M51">
            <v>-35.92</v>
          </cell>
          <cell r="N51">
            <v>-35.92</v>
          </cell>
        </row>
        <row r="52">
          <cell r="D52" t="str">
            <v>UNM CARE PROGRAM</v>
          </cell>
          <cell r="E52" t="str">
            <v>NEW A/R</v>
          </cell>
          <cell r="F52">
            <v>18622.13</v>
          </cell>
          <cell r="G52">
            <v>383.06</v>
          </cell>
          <cell r="H52">
            <v>0</v>
          </cell>
          <cell r="I52">
            <v>-54.25</v>
          </cell>
          <cell r="J52">
            <v>116</v>
          </cell>
          <cell r="K52">
            <v>-25</v>
          </cell>
          <cell r="L52">
            <v>-682.35</v>
          </cell>
          <cell r="M52">
            <v>18359.590000000004</v>
          </cell>
          <cell r="N52">
            <v>-645.6</v>
          </cell>
        </row>
        <row r="53">
          <cell r="D53" t="str">
            <v>VALENCIA COUNTY (INDIGENT) FUND</v>
          </cell>
          <cell r="E53" t="str">
            <v>NEW A/R</v>
          </cell>
          <cell r="F53">
            <v>0</v>
          </cell>
          <cell r="G53">
            <v>0</v>
          </cell>
          <cell r="H53">
            <v>0</v>
          </cell>
          <cell r="I53">
            <v>116</v>
          </cell>
          <cell r="J53">
            <v>1334</v>
          </cell>
          <cell r="K53">
            <v>-117</v>
          </cell>
          <cell r="L53">
            <v>-21.64</v>
          </cell>
          <cell r="M53">
            <v>1311.36</v>
          </cell>
          <cell r="N53">
            <v>1311.36</v>
          </cell>
        </row>
        <row r="54">
          <cell r="D54" t="str">
            <v>STATE COVERAGE INSURANCE</v>
          </cell>
          <cell r="E54" t="str">
            <v>NEW A/R</v>
          </cell>
          <cell r="F54">
            <v>-26</v>
          </cell>
          <cell r="G54">
            <v>-12</v>
          </cell>
          <cell r="H54">
            <v>0</v>
          </cell>
          <cell r="I54">
            <v>-27</v>
          </cell>
          <cell r="J54">
            <v>-7</v>
          </cell>
          <cell r="K54">
            <v>-33</v>
          </cell>
          <cell r="L54">
            <v>0</v>
          </cell>
          <cell r="M54">
            <v>-105</v>
          </cell>
          <cell r="N54">
            <v>-67</v>
          </cell>
        </row>
        <row r="55">
          <cell r="D55" t="str">
            <v>MOLINA SCI</v>
          </cell>
          <cell r="E55" t="str">
            <v>NEW A/R</v>
          </cell>
          <cell r="F55">
            <v>95701.97</v>
          </cell>
          <cell r="G55">
            <v>2819.97</v>
          </cell>
          <cell r="H55">
            <v>1006.56</v>
          </cell>
          <cell r="I55">
            <v>20</v>
          </cell>
          <cell r="J55">
            <v>60</v>
          </cell>
          <cell r="K55">
            <v>1214</v>
          </cell>
          <cell r="L55">
            <v>781.22</v>
          </cell>
          <cell r="M55">
            <v>101603.72</v>
          </cell>
          <cell r="N55">
            <v>2075.2200000000003</v>
          </cell>
        </row>
        <row r="56">
          <cell r="D56" t="str">
            <v>LOVELACE SCI</v>
          </cell>
          <cell r="E56" t="str">
            <v>NEW A/R</v>
          </cell>
          <cell r="F56">
            <v>62425</v>
          </cell>
          <cell r="G56">
            <v>1424</v>
          </cell>
          <cell r="H56">
            <v>667</v>
          </cell>
          <cell r="I56">
            <v>-37</v>
          </cell>
          <cell r="J56">
            <v>280</v>
          </cell>
          <cell r="K56">
            <v>0</v>
          </cell>
          <cell r="L56">
            <v>149.5</v>
          </cell>
          <cell r="M56">
            <v>64908.5</v>
          </cell>
          <cell r="N56">
            <v>392.5</v>
          </cell>
        </row>
        <row r="57">
          <cell r="D57" t="str">
            <v>PRESBYTERIAN SCI</v>
          </cell>
          <cell r="E57" t="str">
            <v>NEW A/R</v>
          </cell>
          <cell r="F57">
            <v>75696</v>
          </cell>
          <cell r="G57">
            <v>2619.34</v>
          </cell>
          <cell r="H57">
            <v>1818</v>
          </cell>
          <cell r="I57">
            <v>0</v>
          </cell>
          <cell r="J57">
            <v>243</v>
          </cell>
          <cell r="K57">
            <v>0</v>
          </cell>
          <cell r="L57">
            <v>-289.48</v>
          </cell>
          <cell r="M57">
            <v>80086.86</v>
          </cell>
          <cell r="N57">
            <v>-46.480000000000018</v>
          </cell>
        </row>
        <row r="58">
          <cell r="D58" t="str">
            <v>BLUE CROSS SCI</v>
          </cell>
          <cell r="E58" t="str">
            <v>NEW A/R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 t="str">
            <v>FREE SERVICE, OUT OF COUNTY INDIGENT</v>
          </cell>
          <cell r="E59" t="str">
            <v>NEW A/R</v>
          </cell>
          <cell r="F59">
            <v>776.63</v>
          </cell>
          <cell r="G59">
            <v>-25.01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169</v>
          </cell>
          <cell r="M59">
            <v>920.62</v>
          </cell>
          <cell r="N59">
            <v>169</v>
          </cell>
        </row>
        <row r="60">
          <cell r="D60" t="str">
            <v>MOLINA SCI APPEAL</v>
          </cell>
          <cell r="E60" t="str">
            <v>NEW A/R</v>
          </cell>
          <cell r="F60">
            <v>565</v>
          </cell>
          <cell r="G60">
            <v>3984</v>
          </cell>
          <cell r="H60">
            <v>15260</v>
          </cell>
          <cell r="I60">
            <v>202</v>
          </cell>
          <cell r="J60">
            <v>864</v>
          </cell>
          <cell r="K60">
            <v>249</v>
          </cell>
          <cell r="L60">
            <v>1006.5</v>
          </cell>
          <cell r="M60">
            <v>22130.5</v>
          </cell>
          <cell r="N60">
            <v>2321.5</v>
          </cell>
        </row>
        <row r="61">
          <cell r="D61" t="str">
            <v>LOVELACE SCI APPEAL</v>
          </cell>
          <cell r="E61" t="str">
            <v>NEW A/R</v>
          </cell>
          <cell r="F61">
            <v>3241</v>
          </cell>
          <cell r="G61">
            <v>0</v>
          </cell>
          <cell r="H61">
            <v>5146</v>
          </cell>
          <cell r="I61">
            <v>5458</v>
          </cell>
          <cell r="J61">
            <v>1778</v>
          </cell>
          <cell r="K61">
            <v>299.81</v>
          </cell>
          <cell r="L61">
            <v>1121</v>
          </cell>
          <cell r="M61">
            <v>17043.809999999998</v>
          </cell>
          <cell r="N61">
            <v>8656.8100000000013</v>
          </cell>
        </row>
        <row r="62">
          <cell r="D62" t="str">
            <v>PRESBYTERIAN SCI APPEAL</v>
          </cell>
          <cell r="E62" t="str">
            <v>NEW A/R</v>
          </cell>
          <cell r="F62">
            <v>0</v>
          </cell>
          <cell r="G62">
            <v>1589.65</v>
          </cell>
          <cell r="H62">
            <v>11427</v>
          </cell>
          <cell r="I62">
            <v>562</v>
          </cell>
          <cell r="J62">
            <v>46</v>
          </cell>
          <cell r="K62">
            <v>0</v>
          </cell>
          <cell r="L62">
            <v>1416</v>
          </cell>
          <cell r="M62">
            <v>15040.65</v>
          </cell>
          <cell r="N62">
            <v>2024</v>
          </cell>
        </row>
        <row r="63">
          <cell r="D63" t="str">
            <v>GREAT WEST</v>
          </cell>
          <cell r="E63" t="str">
            <v>NEW A/R</v>
          </cell>
          <cell r="F63">
            <v>13456</v>
          </cell>
          <cell r="G63">
            <v>1998</v>
          </cell>
          <cell r="H63">
            <v>0</v>
          </cell>
          <cell r="I63">
            <v>-96</v>
          </cell>
          <cell r="J63">
            <v>0</v>
          </cell>
          <cell r="K63">
            <v>111</v>
          </cell>
          <cell r="L63">
            <v>1333.07</v>
          </cell>
          <cell r="M63">
            <v>16802.07</v>
          </cell>
          <cell r="N63">
            <v>1348.07</v>
          </cell>
        </row>
        <row r="64">
          <cell r="D64" t="str">
            <v>GREAT WEST APPEAL</v>
          </cell>
          <cell r="E64" t="str">
            <v>NEW A/R</v>
          </cell>
          <cell r="F64">
            <v>161</v>
          </cell>
          <cell r="G64">
            <v>9156.18</v>
          </cell>
          <cell r="H64">
            <v>130</v>
          </cell>
          <cell r="I64">
            <v>744</v>
          </cell>
          <cell r="J64">
            <v>146</v>
          </cell>
          <cell r="K64">
            <v>24</v>
          </cell>
          <cell r="L64">
            <v>1567.35</v>
          </cell>
          <cell r="M64">
            <v>11928.53</v>
          </cell>
          <cell r="N64">
            <v>2481.35</v>
          </cell>
        </row>
        <row r="65">
          <cell r="D65" t="str">
            <v>HUMANA CHOICE CARE</v>
          </cell>
          <cell r="E65" t="str">
            <v>NEW A/R</v>
          </cell>
          <cell r="F65">
            <v>6019.58</v>
          </cell>
          <cell r="G65">
            <v>1593.77</v>
          </cell>
          <cell r="H65">
            <v>0</v>
          </cell>
          <cell r="I65">
            <v>0</v>
          </cell>
          <cell r="J65">
            <v>49.74</v>
          </cell>
          <cell r="K65">
            <v>0</v>
          </cell>
          <cell r="L65">
            <v>127.12</v>
          </cell>
          <cell r="M65">
            <v>7790.21</v>
          </cell>
          <cell r="N65">
            <v>176.86</v>
          </cell>
        </row>
        <row r="66">
          <cell r="D66" t="str">
            <v>HUMANA CHOICE CARE APPEAL</v>
          </cell>
          <cell r="E66" t="str">
            <v>NEW A/R</v>
          </cell>
          <cell r="F66">
            <v>383</v>
          </cell>
          <cell r="G66">
            <v>363</v>
          </cell>
          <cell r="H66">
            <v>0</v>
          </cell>
          <cell r="I66">
            <v>2853</v>
          </cell>
          <cell r="J66">
            <v>432</v>
          </cell>
          <cell r="K66">
            <v>0</v>
          </cell>
          <cell r="L66">
            <v>0</v>
          </cell>
          <cell r="M66">
            <v>4031</v>
          </cell>
          <cell r="N66">
            <v>3285</v>
          </cell>
        </row>
        <row r="67">
          <cell r="D67" t="str">
            <v>EXTENDED BUSINESS OFFICE</v>
          </cell>
          <cell r="E67" t="str">
            <v>NEW A/R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-1076.55</v>
          </cell>
          <cell r="M67">
            <v>-1076.55</v>
          </cell>
          <cell r="N67">
            <v>-1076.55</v>
          </cell>
        </row>
        <row r="68">
          <cell r="D68" t="str">
            <v>COLLECTION, EQUIFAX</v>
          </cell>
          <cell r="E68" t="str">
            <v>NEW A/R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-615.08000000000004</v>
          </cell>
          <cell r="M68">
            <v>-615.08000000000004</v>
          </cell>
          <cell r="N68">
            <v>-615.08000000000004</v>
          </cell>
        </row>
        <row r="69">
          <cell r="D69" t="str">
            <v>CANCELLED FROM NCO</v>
          </cell>
          <cell r="E69" t="str">
            <v>NEW A/R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 t="str">
            <v>NCO-PAID IN FULL</v>
          </cell>
          <cell r="E70" t="str">
            <v>NEW A/R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-794.21</v>
          </cell>
          <cell r="M70">
            <v>-794.21</v>
          </cell>
          <cell r="N70">
            <v>-794.21</v>
          </cell>
        </row>
        <row r="71">
          <cell r="D71" t="str">
            <v>OSI EBO PENDING PLACEMENT</v>
          </cell>
          <cell r="E71" t="str">
            <v>NEW A/R</v>
          </cell>
          <cell r="F71">
            <v>134601.63</v>
          </cell>
          <cell r="G71">
            <v>75355.41</v>
          </cell>
          <cell r="H71">
            <v>100078.77</v>
          </cell>
          <cell r="I71">
            <v>139632.95000000001</v>
          </cell>
          <cell r="J71">
            <v>24551.119999999999</v>
          </cell>
          <cell r="K71">
            <v>3602.72</v>
          </cell>
          <cell r="L71">
            <v>11637.02</v>
          </cell>
          <cell r="M71">
            <v>489459.62</v>
          </cell>
          <cell r="N71">
            <v>179423.81</v>
          </cell>
        </row>
        <row r="72">
          <cell r="D72" t="str">
            <v>OSI EXTENDED BUSINESS OFFICE</v>
          </cell>
          <cell r="E72" t="str">
            <v>NEW A/R</v>
          </cell>
          <cell r="F72">
            <v>124542.32</v>
          </cell>
          <cell r="G72">
            <v>342682.11</v>
          </cell>
          <cell r="H72">
            <v>793355.05</v>
          </cell>
          <cell r="I72">
            <v>1424149.5</v>
          </cell>
          <cell r="J72">
            <v>1409732.64</v>
          </cell>
          <cell r="K72">
            <v>1102244.48</v>
          </cell>
          <cell r="L72">
            <v>4300959.3099999996</v>
          </cell>
          <cell r="M72">
            <v>9497665.4100000001</v>
          </cell>
          <cell r="N72">
            <v>8237085.9299999997</v>
          </cell>
        </row>
        <row r="73">
          <cell r="D73" t="str">
            <v>CANCELLED FROM OSI</v>
          </cell>
          <cell r="E73" t="str">
            <v>NEW A/R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-20</v>
          </cell>
          <cell r="M73">
            <v>-20</v>
          </cell>
          <cell r="N73">
            <v>-20</v>
          </cell>
        </row>
        <row r="74">
          <cell r="D74" t="str">
            <v>OSI PAID IN FULL</v>
          </cell>
          <cell r="E74" t="str">
            <v>NEW A/R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-25</v>
          </cell>
          <cell r="M74">
            <v>-25</v>
          </cell>
          <cell r="N74">
            <v>-25</v>
          </cell>
        </row>
        <row r="75">
          <cell r="D75" t="str">
            <v>NRS PENDING PLACEMENT</v>
          </cell>
          <cell r="E75" t="str">
            <v>NEW A/R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 t="str">
            <v>NRS COLLECTION</v>
          </cell>
          <cell r="E76" t="str">
            <v>NEW A/R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-5577.52</v>
          </cell>
          <cell r="M76">
            <v>-5577.52</v>
          </cell>
          <cell r="N76">
            <v>-5577.52</v>
          </cell>
        </row>
        <row r="77">
          <cell r="D77" t="str">
            <v>CANCELLED FROM ARGYLE</v>
          </cell>
          <cell r="E77" t="str">
            <v>NEW A/R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 t="str">
            <v>BUDGET PLAN ACCTS</v>
          </cell>
          <cell r="E78" t="str">
            <v>NEW A/R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 t="str">
            <v>MEDICARE RECOUPS</v>
          </cell>
          <cell r="E79" t="str">
            <v>NEW A/R</v>
          </cell>
          <cell r="F79">
            <v>0</v>
          </cell>
          <cell r="G79">
            <v>0</v>
          </cell>
          <cell r="H79">
            <v>0</v>
          </cell>
          <cell r="I79">
            <v>311.95</v>
          </cell>
          <cell r="J79">
            <v>0</v>
          </cell>
          <cell r="K79">
            <v>0</v>
          </cell>
          <cell r="L79">
            <v>868.74</v>
          </cell>
          <cell r="M79">
            <v>1180.69</v>
          </cell>
          <cell r="N79">
            <v>1180.69</v>
          </cell>
        </row>
        <row r="80">
          <cell r="D80" t="str">
            <v>UNITED HEALTH CARE RECOUPS</v>
          </cell>
          <cell r="E80" t="str">
            <v>NEW A/R</v>
          </cell>
          <cell r="F80">
            <v>0</v>
          </cell>
          <cell r="G80">
            <v>0</v>
          </cell>
          <cell r="H80">
            <v>-33.520000000000003</v>
          </cell>
          <cell r="I80">
            <v>370.05</v>
          </cell>
          <cell r="J80">
            <v>758.45</v>
          </cell>
          <cell r="K80">
            <v>426.16</v>
          </cell>
          <cell r="L80">
            <v>2908.47</v>
          </cell>
          <cell r="M80">
            <v>4429.6099999999997</v>
          </cell>
          <cell r="N80">
            <v>4463.13</v>
          </cell>
        </row>
        <row r="81">
          <cell r="D81" t="str">
            <v>TRI-CARE RECOUPS</v>
          </cell>
          <cell r="E81" t="str">
            <v>NEW A/R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7.65</v>
          </cell>
          <cell r="L81">
            <v>-26.71</v>
          </cell>
          <cell r="M81">
            <v>-19.060000000000002</v>
          </cell>
          <cell r="N81">
            <v>-19.060000000000002</v>
          </cell>
        </row>
        <row r="82">
          <cell r="D82" t="str">
            <v>BLUE CROSS RECOUPS</v>
          </cell>
          <cell r="E82" t="str">
            <v>NEW A/R</v>
          </cell>
          <cell r="F82">
            <v>0</v>
          </cell>
          <cell r="G82">
            <v>1093.48</v>
          </cell>
          <cell r="H82">
            <v>0</v>
          </cell>
          <cell r="I82">
            <v>318</v>
          </cell>
          <cell r="J82">
            <v>0</v>
          </cell>
          <cell r="K82">
            <v>1100.82</v>
          </cell>
          <cell r="L82">
            <v>11164.04</v>
          </cell>
          <cell r="M82">
            <v>13676.34</v>
          </cell>
          <cell r="N82">
            <v>12582.86</v>
          </cell>
        </row>
        <row r="83">
          <cell r="D83" t="str">
            <v>LOVELACE RECOUPS</v>
          </cell>
          <cell r="E83" t="str">
            <v>NEW A/R</v>
          </cell>
          <cell r="F83">
            <v>1546.83</v>
          </cell>
          <cell r="G83">
            <v>3369.24</v>
          </cell>
          <cell r="H83">
            <v>161.16999999999999</v>
          </cell>
          <cell r="I83">
            <v>12</v>
          </cell>
          <cell r="J83">
            <v>1366.79</v>
          </cell>
          <cell r="K83">
            <v>1261.42</v>
          </cell>
          <cell r="L83">
            <v>10056.030000000001</v>
          </cell>
          <cell r="M83">
            <v>17773.48</v>
          </cell>
          <cell r="N83">
            <v>12696.240000000002</v>
          </cell>
        </row>
        <row r="84">
          <cell r="D84" t="str">
            <v>MEDICAID RECOUPS</v>
          </cell>
          <cell r="E84" t="str">
            <v>NEW A/R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4930</v>
          </cell>
          <cell r="K84">
            <v>0</v>
          </cell>
          <cell r="L84">
            <v>269.73</v>
          </cell>
          <cell r="M84">
            <v>5199.7299999999996</v>
          </cell>
          <cell r="N84">
            <v>5199.7299999999996</v>
          </cell>
        </row>
        <row r="85">
          <cell r="D85" t="str">
            <v>PRESBYTERIAN RECOUPS</v>
          </cell>
          <cell r="E85" t="str">
            <v>NEW A/R</v>
          </cell>
          <cell r="F85">
            <v>0</v>
          </cell>
          <cell r="G85">
            <v>376</v>
          </cell>
          <cell r="H85">
            <v>911.04</v>
          </cell>
          <cell r="I85">
            <v>179</v>
          </cell>
          <cell r="J85">
            <v>552.54999999999995</v>
          </cell>
          <cell r="K85">
            <v>1152.8</v>
          </cell>
          <cell r="L85">
            <v>4515.45</v>
          </cell>
          <cell r="M85">
            <v>7686.84</v>
          </cell>
          <cell r="N85">
            <v>6399.7999999999993</v>
          </cell>
        </row>
        <row r="86">
          <cell r="D86" t="str">
            <v>MOLINA RECOUPS</v>
          </cell>
          <cell r="E86" t="str">
            <v>NEW A/R</v>
          </cell>
          <cell r="F86">
            <v>0</v>
          </cell>
          <cell r="G86">
            <v>0</v>
          </cell>
          <cell r="H86">
            <v>0</v>
          </cell>
          <cell r="I86">
            <v>611</v>
          </cell>
          <cell r="J86">
            <v>2182</v>
          </cell>
          <cell r="K86">
            <v>5523</v>
          </cell>
          <cell r="L86">
            <v>24549.87</v>
          </cell>
          <cell r="M86">
            <v>32865.869999999995</v>
          </cell>
          <cell r="N86">
            <v>32865.869999999995</v>
          </cell>
        </row>
        <row r="87">
          <cell r="D87" t="str">
            <v>MISCELLANEOUS COMM RECOUPS</v>
          </cell>
          <cell r="E87" t="str">
            <v>NEW A/R</v>
          </cell>
          <cell r="F87">
            <v>0</v>
          </cell>
          <cell r="G87">
            <v>22</v>
          </cell>
          <cell r="H87">
            <v>253</v>
          </cell>
          <cell r="I87">
            <v>0</v>
          </cell>
          <cell r="J87">
            <v>64</v>
          </cell>
          <cell r="K87">
            <v>81.67</v>
          </cell>
          <cell r="L87">
            <v>761.44</v>
          </cell>
          <cell r="M87">
            <v>1182.1100000000001</v>
          </cell>
          <cell r="N87">
            <v>907.11000000000013</v>
          </cell>
        </row>
        <row r="88">
          <cell r="D88" t="str">
            <v>VO RECOUPS</v>
          </cell>
          <cell r="E88" t="str">
            <v>NEW A/R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-307.89999999999998</v>
          </cell>
          <cell r="M88">
            <v>-307.89999999999998</v>
          </cell>
          <cell r="N88">
            <v>-307.89999999999998</v>
          </cell>
        </row>
        <row r="89">
          <cell r="D89" t="str">
            <v>UH ONLY VISIT</v>
          </cell>
          <cell r="E89" t="str">
            <v>NEW A/R</v>
          </cell>
          <cell r="F89">
            <v>0</v>
          </cell>
          <cell r="G89">
            <v>0</v>
          </cell>
          <cell r="H89">
            <v>0</v>
          </cell>
          <cell r="I89">
            <v>337</v>
          </cell>
          <cell r="J89">
            <v>0</v>
          </cell>
          <cell r="K89">
            <v>0</v>
          </cell>
          <cell r="L89">
            <v>318</v>
          </cell>
          <cell r="M89">
            <v>655</v>
          </cell>
          <cell r="N89">
            <v>655</v>
          </cell>
        </row>
        <row r="90">
          <cell r="D90" t="str">
            <v>UNM ATHLETES</v>
          </cell>
          <cell r="E90" t="str">
            <v>NEW A/R</v>
          </cell>
          <cell r="F90">
            <v>984.55</v>
          </cell>
          <cell r="G90">
            <v>26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-217.4</v>
          </cell>
          <cell r="M90">
            <v>793.15</v>
          </cell>
          <cell r="N90">
            <v>-217.4</v>
          </cell>
        </row>
        <row r="91">
          <cell r="D91" t="str">
            <v>PENDING MEDICAID ELIGIBILITY</v>
          </cell>
          <cell r="E91" t="str">
            <v>NEW A/R</v>
          </cell>
          <cell r="F91">
            <v>26755.03</v>
          </cell>
          <cell r="G91">
            <v>3933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30688.03</v>
          </cell>
          <cell r="N91">
            <v>0</v>
          </cell>
        </row>
        <row r="92">
          <cell r="D92" t="str">
            <v>PENDING EMSA</v>
          </cell>
          <cell r="E92" t="str">
            <v>NEW A/R</v>
          </cell>
          <cell r="F92">
            <v>272211.63</v>
          </cell>
          <cell r="G92">
            <v>110081</v>
          </cell>
          <cell r="H92">
            <v>56221</v>
          </cell>
          <cell r="I92">
            <v>24216</v>
          </cell>
          <cell r="J92">
            <v>0</v>
          </cell>
          <cell r="K92">
            <v>68</v>
          </cell>
          <cell r="L92">
            <v>0</v>
          </cell>
          <cell r="M92">
            <v>462797.63</v>
          </cell>
          <cell r="N92">
            <v>24284</v>
          </cell>
        </row>
        <row r="93">
          <cell r="D93" t="str">
            <v>CHILDRENS MEDICAL SERVICE</v>
          </cell>
          <cell r="E93" t="str">
            <v>NEW A/R</v>
          </cell>
          <cell r="F93">
            <v>18316.12</v>
          </cell>
          <cell r="G93">
            <v>4725.32</v>
          </cell>
          <cell r="H93">
            <v>1407.83</v>
          </cell>
          <cell r="I93">
            <v>741.22</v>
          </cell>
          <cell r="J93">
            <v>659.19</v>
          </cell>
          <cell r="K93">
            <v>622.75</v>
          </cell>
          <cell r="L93">
            <v>212.75</v>
          </cell>
          <cell r="M93">
            <v>26685.179999999997</v>
          </cell>
          <cell r="N93">
            <v>2235.91</v>
          </cell>
        </row>
        <row r="94">
          <cell r="D94" t="str">
            <v>CHILDRENS MEDICAL SVC APPEAL</v>
          </cell>
          <cell r="E94" t="str">
            <v>NEW A/R</v>
          </cell>
          <cell r="F94">
            <v>1377</v>
          </cell>
          <cell r="G94">
            <v>346.92</v>
          </cell>
          <cell r="H94">
            <v>111</v>
          </cell>
          <cell r="I94">
            <v>204.11</v>
          </cell>
          <cell r="J94">
            <v>0</v>
          </cell>
          <cell r="K94">
            <v>206</v>
          </cell>
          <cell r="L94">
            <v>439.24</v>
          </cell>
          <cell r="M94">
            <v>2684.2700000000004</v>
          </cell>
          <cell r="N94">
            <v>849.35</v>
          </cell>
        </row>
        <row r="95">
          <cell r="D95" t="str">
            <v>MEDICARE RAILROAD</v>
          </cell>
          <cell r="E95" t="str">
            <v>NEW A/R</v>
          </cell>
          <cell r="F95">
            <v>23732</v>
          </cell>
          <cell r="G95">
            <v>0</v>
          </cell>
          <cell r="H95">
            <v>329.05</v>
          </cell>
          <cell r="I95">
            <v>0</v>
          </cell>
          <cell r="J95">
            <v>-145.88</v>
          </cell>
          <cell r="K95">
            <v>-426.95</v>
          </cell>
          <cell r="L95">
            <v>-989.78</v>
          </cell>
          <cell r="M95">
            <v>22498.44</v>
          </cell>
          <cell r="N95">
            <v>-1562.61</v>
          </cell>
        </row>
        <row r="96">
          <cell r="D96" t="str">
            <v>MEDICARE APPEAL FSC</v>
          </cell>
          <cell r="E96" t="str">
            <v>NEW A/R</v>
          </cell>
          <cell r="F96">
            <v>93279.03</v>
          </cell>
          <cell r="G96">
            <v>85776.8</v>
          </cell>
          <cell r="H96">
            <v>63871.11</v>
          </cell>
          <cell r="I96">
            <v>50108.61</v>
          </cell>
          <cell r="J96">
            <v>30157.27</v>
          </cell>
          <cell r="K96">
            <v>15890.92</v>
          </cell>
          <cell r="L96">
            <v>10951.1</v>
          </cell>
          <cell r="M96">
            <v>350034.83999999997</v>
          </cell>
          <cell r="N96">
            <v>107107.90000000001</v>
          </cell>
        </row>
        <row r="97">
          <cell r="D97" t="str">
            <v>MEDICARE PRESBYTERIAN</v>
          </cell>
          <cell r="E97" t="str">
            <v>NEW A/R</v>
          </cell>
          <cell r="F97">
            <v>149540.35</v>
          </cell>
          <cell r="G97">
            <v>13534</v>
          </cell>
          <cell r="H97">
            <v>1935</v>
          </cell>
          <cell r="I97">
            <v>1423</v>
          </cell>
          <cell r="J97">
            <v>501.82</v>
          </cell>
          <cell r="K97">
            <v>0</v>
          </cell>
          <cell r="L97">
            <v>-855.61</v>
          </cell>
          <cell r="M97">
            <v>166078.56000000003</v>
          </cell>
          <cell r="N97">
            <v>1069.21</v>
          </cell>
        </row>
        <row r="98">
          <cell r="D98" t="str">
            <v>MEDICARE PRES APPEAL</v>
          </cell>
          <cell r="E98" t="str">
            <v>NEW A/R</v>
          </cell>
          <cell r="F98">
            <v>420</v>
          </cell>
          <cell r="G98">
            <v>2653.5</v>
          </cell>
          <cell r="H98">
            <v>571</v>
          </cell>
          <cell r="I98">
            <v>9429</v>
          </cell>
          <cell r="J98">
            <v>1454</v>
          </cell>
          <cell r="K98">
            <v>253</v>
          </cell>
          <cell r="L98">
            <v>5855</v>
          </cell>
          <cell r="M98">
            <v>20635.5</v>
          </cell>
          <cell r="N98">
            <v>16991</v>
          </cell>
        </row>
        <row r="99">
          <cell r="D99" t="str">
            <v>MEDICARE RAILROAD APPEAL</v>
          </cell>
          <cell r="E99" t="str">
            <v>NEW A/R</v>
          </cell>
          <cell r="F99">
            <v>0</v>
          </cell>
          <cell r="G99">
            <v>259</v>
          </cell>
          <cell r="H99">
            <v>7454.15</v>
          </cell>
          <cell r="I99">
            <v>0</v>
          </cell>
          <cell r="J99">
            <v>46</v>
          </cell>
          <cell r="K99">
            <v>0</v>
          </cell>
          <cell r="L99">
            <v>1165.08</v>
          </cell>
          <cell r="M99">
            <v>8924.23</v>
          </cell>
          <cell r="N99">
            <v>1211.08</v>
          </cell>
        </row>
        <row r="100">
          <cell r="D100" t="str">
            <v>MEDICARE AS SECONDARY</v>
          </cell>
          <cell r="E100" t="str">
            <v>NEW A/R</v>
          </cell>
          <cell r="F100">
            <v>742.21</v>
          </cell>
          <cell r="G100">
            <v>1927.52</v>
          </cell>
          <cell r="H100">
            <v>983.46</v>
          </cell>
          <cell r="I100">
            <v>26.93</v>
          </cell>
          <cell r="J100">
            <v>131.47</v>
          </cell>
          <cell r="K100">
            <v>-510.13</v>
          </cell>
          <cell r="L100">
            <v>-8437.7000000000007</v>
          </cell>
          <cell r="M100">
            <v>-5136.2400000000016</v>
          </cell>
          <cell r="N100">
            <v>-8789.43</v>
          </cell>
        </row>
        <row r="101">
          <cell r="D101" t="str">
            <v>MEDICARE PENDING/WO</v>
          </cell>
          <cell r="E101" t="str">
            <v>NEW A/R</v>
          </cell>
          <cell r="F101">
            <v>274.64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14.87</v>
          </cell>
          <cell r="M101">
            <v>289.51</v>
          </cell>
          <cell r="N101">
            <v>14.87</v>
          </cell>
        </row>
        <row r="102">
          <cell r="D102" t="str">
            <v>LOVELACE SENIOR HEALTH PLAN</v>
          </cell>
          <cell r="E102" t="str">
            <v>NEW A/R</v>
          </cell>
          <cell r="F102">
            <v>247989</v>
          </cell>
          <cell r="G102">
            <v>9894.15</v>
          </cell>
          <cell r="H102">
            <v>148</v>
          </cell>
          <cell r="I102">
            <v>4415.41</v>
          </cell>
          <cell r="J102">
            <v>41</v>
          </cell>
          <cell r="K102">
            <v>-56.57</v>
          </cell>
          <cell r="L102">
            <v>651.04</v>
          </cell>
          <cell r="M102">
            <v>263082.02999999997</v>
          </cell>
          <cell r="N102">
            <v>5050.88</v>
          </cell>
        </row>
        <row r="103">
          <cell r="D103" t="str">
            <v>LOVELACE SENIOR H/P APPEAL</v>
          </cell>
          <cell r="E103" t="str">
            <v>NEW A/R</v>
          </cell>
          <cell r="F103">
            <v>10828</v>
          </cell>
          <cell r="G103">
            <v>3386</v>
          </cell>
          <cell r="H103">
            <v>16482.810000000001</v>
          </cell>
          <cell r="I103">
            <v>8845</v>
          </cell>
          <cell r="J103">
            <v>2175</v>
          </cell>
          <cell r="K103">
            <v>6418.4</v>
          </cell>
          <cell r="L103">
            <v>4025.03</v>
          </cell>
          <cell r="M103">
            <v>52160.24</v>
          </cell>
          <cell r="N103">
            <v>21463.43</v>
          </cell>
        </row>
        <row r="104">
          <cell r="D104" t="str">
            <v>BLUE MEDICARE PPO</v>
          </cell>
          <cell r="E104" t="str">
            <v>NEW A/R</v>
          </cell>
          <cell r="F104">
            <v>652</v>
          </cell>
          <cell r="G104">
            <v>1006</v>
          </cell>
          <cell r="H104">
            <v>4492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6150</v>
          </cell>
          <cell r="N104">
            <v>0</v>
          </cell>
        </row>
        <row r="105">
          <cell r="D105" t="str">
            <v>UHC MEDICARE REPLACEMENT</v>
          </cell>
          <cell r="E105" t="str">
            <v>NEW A/R</v>
          </cell>
          <cell r="F105">
            <v>78841</v>
          </cell>
          <cell r="G105">
            <v>18917.34</v>
          </cell>
          <cell r="H105">
            <v>10709</v>
          </cell>
          <cell r="I105">
            <v>2564.4499999999998</v>
          </cell>
          <cell r="J105">
            <v>742.66</v>
          </cell>
          <cell r="K105">
            <v>-80.61</v>
          </cell>
          <cell r="L105">
            <v>-2352.14</v>
          </cell>
          <cell r="M105">
            <v>109341.7</v>
          </cell>
          <cell r="N105">
            <v>874.35999999999967</v>
          </cell>
        </row>
        <row r="106">
          <cell r="D106" t="str">
            <v>UHC MEDICARE REPLACEMENT APPEAL</v>
          </cell>
          <cell r="E106" t="str">
            <v>NEW A/R</v>
          </cell>
          <cell r="F106">
            <v>2235</v>
          </cell>
          <cell r="G106">
            <v>7274</v>
          </cell>
          <cell r="H106">
            <v>782</v>
          </cell>
          <cell r="I106">
            <v>1501</v>
          </cell>
          <cell r="J106">
            <v>2030</v>
          </cell>
          <cell r="K106">
            <v>77.08</v>
          </cell>
          <cell r="L106">
            <v>2108</v>
          </cell>
          <cell r="M106">
            <v>16007.08</v>
          </cell>
          <cell r="N106">
            <v>5716.08</v>
          </cell>
        </row>
        <row r="107">
          <cell r="D107" t="str">
            <v>MISC MEDICARE REPLACEMENT</v>
          </cell>
          <cell r="E107" t="str">
            <v>NEW A/R</v>
          </cell>
          <cell r="F107">
            <v>276899.82</v>
          </cell>
          <cell r="G107">
            <v>47762.36</v>
          </cell>
          <cell r="H107">
            <v>3930.44</v>
          </cell>
          <cell r="I107">
            <v>3646.18</v>
          </cell>
          <cell r="J107">
            <v>1551.46</v>
          </cell>
          <cell r="K107">
            <v>2945.68</v>
          </cell>
          <cell r="L107">
            <v>-2301.36</v>
          </cell>
          <cell r="M107">
            <v>334434.58</v>
          </cell>
          <cell r="N107">
            <v>5841.9599999999991</v>
          </cell>
        </row>
        <row r="108">
          <cell r="D108" t="str">
            <v>MISC MCARE REPLACEMENT APPEAL</v>
          </cell>
          <cell r="E108" t="str">
            <v>NEW A/R</v>
          </cell>
          <cell r="F108">
            <v>5121.28</v>
          </cell>
          <cell r="G108">
            <v>32741.79</v>
          </cell>
          <cell r="H108">
            <v>25279</v>
          </cell>
          <cell r="I108">
            <v>9751.42</v>
          </cell>
          <cell r="J108">
            <v>6233.93</v>
          </cell>
          <cell r="K108">
            <v>2957</v>
          </cell>
          <cell r="L108">
            <v>12669.32</v>
          </cell>
          <cell r="M108">
            <v>94753.74000000002</v>
          </cell>
          <cell r="N108">
            <v>31611.67</v>
          </cell>
        </row>
        <row r="109">
          <cell r="D109" t="str">
            <v>MEDICARE</v>
          </cell>
          <cell r="E109" t="str">
            <v>NEW A/R</v>
          </cell>
          <cell r="F109">
            <v>2842008.66</v>
          </cell>
          <cell r="G109">
            <v>23209.35</v>
          </cell>
          <cell r="H109">
            <v>39710.720000000001</v>
          </cell>
          <cell r="I109">
            <v>6831.29</v>
          </cell>
          <cell r="J109">
            <v>90.44</v>
          </cell>
          <cell r="K109">
            <v>-3639.21</v>
          </cell>
          <cell r="L109">
            <v>-21951.06</v>
          </cell>
          <cell r="M109">
            <v>2886260.1900000004</v>
          </cell>
          <cell r="N109">
            <v>-18668.54</v>
          </cell>
        </row>
        <row r="110">
          <cell r="D110" t="str">
            <v>SPECIAL PROJECT PRES COMM</v>
          </cell>
          <cell r="E110" t="str">
            <v>NEW A/R</v>
          </cell>
          <cell r="F110">
            <v>0</v>
          </cell>
          <cell r="G110">
            <v>0</v>
          </cell>
          <cell r="H110">
            <v>567</v>
          </cell>
          <cell r="I110">
            <v>365</v>
          </cell>
          <cell r="J110">
            <v>132</v>
          </cell>
          <cell r="K110">
            <v>656</v>
          </cell>
          <cell r="L110">
            <v>1454.69</v>
          </cell>
          <cell r="M110">
            <v>3174.69</v>
          </cell>
          <cell r="N110">
            <v>2607.69</v>
          </cell>
        </row>
        <row r="111">
          <cell r="D111" t="str">
            <v>INSURANCE APPEAL FSC</v>
          </cell>
          <cell r="E111" t="str">
            <v>NEW A/R</v>
          </cell>
          <cell r="F111">
            <v>10040</v>
          </cell>
          <cell r="G111">
            <v>7360.17</v>
          </cell>
          <cell r="H111">
            <v>8248.0499999999993</v>
          </cell>
          <cell r="I111">
            <v>17740.52</v>
          </cell>
          <cell r="J111">
            <v>5853.58</v>
          </cell>
          <cell r="K111">
            <v>15993.15</v>
          </cell>
          <cell r="L111">
            <v>21022.71</v>
          </cell>
          <cell r="M111">
            <v>86258.18</v>
          </cell>
          <cell r="N111">
            <v>60609.96</v>
          </cell>
        </row>
        <row r="112">
          <cell r="D112" t="str">
            <v>CIMARRON HEALTH PLAN</v>
          </cell>
          <cell r="E112" t="str">
            <v>NEW A/R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-40.42</v>
          </cell>
          <cell r="M112">
            <v>-40.42</v>
          </cell>
          <cell r="N112">
            <v>-40.42</v>
          </cell>
        </row>
        <row r="113">
          <cell r="D113" t="str">
            <v>AETNA HEALTH PLAN</v>
          </cell>
          <cell r="E113" t="str">
            <v>NEW A/R</v>
          </cell>
          <cell r="F113">
            <v>118993.82</v>
          </cell>
          <cell r="G113">
            <v>25117.95</v>
          </cell>
          <cell r="H113">
            <v>3882.56</v>
          </cell>
          <cell r="I113">
            <v>3977.15</v>
          </cell>
          <cell r="J113">
            <v>1085</v>
          </cell>
          <cell r="K113">
            <v>139.57</v>
          </cell>
          <cell r="L113">
            <v>-54393.23</v>
          </cell>
          <cell r="M113">
            <v>98802.82</v>
          </cell>
          <cell r="N113">
            <v>-49191.51</v>
          </cell>
        </row>
        <row r="114">
          <cell r="D114" t="str">
            <v>BC/BS - UH EMPLOYEES</v>
          </cell>
          <cell r="E114" t="str">
            <v>NEW A/R</v>
          </cell>
          <cell r="F114">
            <v>323875</v>
          </cell>
          <cell r="G114">
            <v>6660</v>
          </cell>
          <cell r="H114">
            <v>8703.8700000000008</v>
          </cell>
          <cell r="I114">
            <v>774</v>
          </cell>
          <cell r="J114">
            <v>-105.37</v>
          </cell>
          <cell r="K114">
            <v>-476</v>
          </cell>
          <cell r="L114">
            <v>-4605.96</v>
          </cell>
          <cell r="M114">
            <v>334825.53999999998</v>
          </cell>
          <cell r="N114">
            <v>-4413.33</v>
          </cell>
        </row>
        <row r="115">
          <cell r="D115" t="str">
            <v>BC/BS OUT OF STATE</v>
          </cell>
          <cell r="E115" t="str">
            <v>NEW A/R</v>
          </cell>
          <cell r="F115">
            <v>380453.55</v>
          </cell>
          <cell r="G115">
            <v>49601.99</v>
          </cell>
          <cell r="H115">
            <v>10085.91</v>
          </cell>
          <cell r="I115">
            <v>1095.82</v>
          </cell>
          <cell r="J115">
            <v>2137.58</v>
          </cell>
          <cell r="K115">
            <v>7612.52</v>
          </cell>
          <cell r="L115">
            <v>-10521.01</v>
          </cell>
          <cell r="M115">
            <v>440466.36</v>
          </cell>
          <cell r="N115">
            <v>324.90999999999985</v>
          </cell>
        </row>
        <row r="116">
          <cell r="D116" t="str">
            <v>BC/BS OF NEW MEXICO</v>
          </cell>
          <cell r="E116" t="str">
            <v>NEW A/R</v>
          </cell>
          <cell r="F116">
            <v>801768.26</v>
          </cell>
          <cell r="G116">
            <v>31942.560000000001</v>
          </cell>
          <cell r="H116">
            <v>19738</v>
          </cell>
          <cell r="I116">
            <v>7225.81</v>
          </cell>
          <cell r="J116">
            <v>6779.97</v>
          </cell>
          <cell r="K116">
            <v>2609.19</v>
          </cell>
          <cell r="L116">
            <v>-20177.009999999998</v>
          </cell>
          <cell r="M116">
            <v>849886.78</v>
          </cell>
          <cell r="N116">
            <v>-3562.0399999999972</v>
          </cell>
        </row>
        <row r="117">
          <cell r="D117" t="str">
            <v>TRICARE</v>
          </cell>
          <cell r="E117" t="str">
            <v>NEW A/R</v>
          </cell>
          <cell r="F117">
            <v>402267.33</v>
          </cell>
          <cell r="G117">
            <v>28766.89</v>
          </cell>
          <cell r="H117">
            <v>14726.35</v>
          </cell>
          <cell r="I117">
            <v>99.91</v>
          </cell>
          <cell r="J117">
            <v>4132.25</v>
          </cell>
          <cell r="K117">
            <v>3011.32</v>
          </cell>
          <cell r="L117">
            <v>-2502.2800000000002</v>
          </cell>
          <cell r="M117">
            <v>450501.76999999996</v>
          </cell>
          <cell r="N117">
            <v>4741.1999999999989</v>
          </cell>
        </row>
        <row r="118">
          <cell r="D118" t="str">
            <v>UNITED HEALTH CARE-UNM EMP</v>
          </cell>
          <cell r="E118" t="str">
            <v>NEW A/R</v>
          </cell>
          <cell r="F118">
            <v>0</v>
          </cell>
          <cell r="G118">
            <v>0</v>
          </cell>
          <cell r="H118">
            <v>5</v>
          </cell>
          <cell r="I118">
            <v>0</v>
          </cell>
          <cell r="J118">
            <v>0</v>
          </cell>
          <cell r="K118">
            <v>0</v>
          </cell>
          <cell r="L118">
            <v>-2965.12</v>
          </cell>
          <cell r="M118">
            <v>-2960.12</v>
          </cell>
          <cell r="N118">
            <v>-2965.12</v>
          </cell>
        </row>
        <row r="119">
          <cell r="D119" t="str">
            <v>UNITED HEALTH CR APPEAL-UNM EMP</v>
          </cell>
          <cell r="E119" t="str">
            <v>NEW A/R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-97.92</v>
          </cell>
          <cell r="M119">
            <v>-97.92</v>
          </cell>
          <cell r="N119">
            <v>-97.92</v>
          </cell>
        </row>
        <row r="120">
          <cell r="D120" t="str">
            <v>SPECIAL PROJECT BCBS</v>
          </cell>
          <cell r="E120" t="str">
            <v>NEW A/R</v>
          </cell>
          <cell r="F120">
            <v>0</v>
          </cell>
          <cell r="G120">
            <v>1300</v>
          </cell>
          <cell r="H120">
            <v>536</v>
          </cell>
          <cell r="I120">
            <v>1001.05</v>
          </cell>
          <cell r="J120">
            <v>1284.08</v>
          </cell>
          <cell r="K120">
            <v>2406.52</v>
          </cell>
          <cell r="L120">
            <v>7550.3</v>
          </cell>
          <cell r="M120">
            <v>14077.95</v>
          </cell>
          <cell r="N120">
            <v>12241.95</v>
          </cell>
        </row>
        <row r="121">
          <cell r="D121" t="str">
            <v>BC/BS OUT OF STATE APPEAL</v>
          </cell>
          <cell r="E121" t="str">
            <v>NEW A/R</v>
          </cell>
          <cell r="F121">
            <v>8116.13</v>
          </cell>
          <cell r="G121">
            <v>35038.160000000003</v>
          </cell>
          <cell r="H121">
            <v>9063.0400000000009</v>
          </cell>
          <cell r="I121">
            <v>9929.39</v>
          </cell>
          <cell r="J121">
            <v>9332.68</v>
          </cell>
          <cell r="K121">
            <v>2465.9699999999998</v>
          </cell>
          <cell r="L121">
            <v>5463.07</v>
          </cell>
          <cell r="M121">
            <v>79408.44</v>
          </cell>
          <cell r="N121">
            <v>27191.11</v>
          </cell>
        </row>
        <row r="122">
          <cell r="D122" t="str">
            <v>LOVELACE INSURANCE-UNM EMP</v>
          </cell>
          <cell r="E122" t="str">
            <v>NEW A/R</v>
          </cell>
          <cell r="F122">
            <v>386475.85</v>
          </cell>
          <cell r="G122">
            <v>23947.69</v>
          </cell>
          <cell r="H122">
            <v>6370</v>
          </cell>
          <cell r="I122">
            <v>1874</v>
          </cell>
          <cell r="J122">
            <v>253.83</v>
          </cell>
          <cell r="K122">
            <v>-15</v>
          </cell>
          <cell r="L122">
            <v>-2978.79</v>
          </cell>
          <cell r="M122">
            <v>415927.58</v>
          </cell>
          <cell r="N122">
            <v>-865.96</v>
          </cell>
        </row>
        <row r="123">
          <cell r="D123" t="str">
            <v>LOVELACE INS APPEAL-UNM EMP</v>
          </cell>
          <cell r="E123" t="str">
            <v>NEW A/R</v>
          </cell>
          <cell r="F123">
            <v>2087</v>
          </cell>
          <cell r="G123">
            <v>1912.43</v>
          </cell>
          <cell r="H123">
            <v>9191.41</v>
          </cell>
          <cell r="I123">
            <v>2064</v>
          </cell>
          <cell r="J123">
            <v>1048</v>
          </cell>
          <cell r="K123">
            <v>2747</v>
          </cell>
          <cell r="L123">
            <v>2613.06</v>
          </cell>
          <cell r="M123">
            <v>21662.9</v>
          </cell>
          <cell r="N123">
            <v>8472.06</v>
          </cell>
        </row>
        <row r="124">
          <cell r="D124" t="str">
            <v>GEHA/ COMM'L INS</v>
          </cell>
          <cell r="E124" t="str">
            <v>NEW A/R</v>
          </cell>
          <cell r="F124">
            <v>13204.84</v>
          </cell>
          <cell r="G124">
            <v>2053.61</v>
          </cell>
          <cell r="H124">
            <v>2010</v>
          </cell>
          <cell r="I124">
            <v>0</v>
          </cell>
          <cell r="J124">
            <v>280</v>
          </cell>
          <cell r="K124">
            <v>0</v>
          </cell>
          <cell r="L124">
            <v>-239.5</v>
          </cell>
          <cell r="M124">
            <v>17308.95</v>
          </cell>
          <cell r="N124">
            <v>40.5</v>
          </cell>
        </row>
        <row r="125">
          <cell r="D125" t="str">
            <v>TRICARE APPEAL</v>
          </cell>
          <cell r="E125" t="str">
            <v>NEW A/R</v>
          </cell>
          <cell r="F125">
            <v>7306.66</v>
          </cell>
          <cell r="G125">
            <v>34928.61</v>
          </cell>
          <cell r="H125">
            <v>16138.06</v>
          </cell>
          <cell r="I125">
            <v>21012.26</v>
          </cell>
          <cell r="J125">
            <v>5159.8100000000004</v>
          </cell>
          <cell r="K125">
            <v>3238.43</v>
          </cell>
          <cell r="L125">
            <v>479.82</v>
          </cell>
          <cell r="M125">
            <v>88263.65</v>
          </cell>
          <cell r="N125">
            <v>29890.32</v>
          </cell>
        </row>
        <row r="126">
          <cell r="D126" t="str">
            <v>LOVELACE H/P-APPEAL</v>
          </cell>
          <cell r="E126" t="str">
            <v>NEW A/R</v>
          </cell>
          <cell r="F126">
            <v>1152</v>
          </cell>
          <cell r="G126">
            <v>17499.14</v>
          </cell>
          <cell r="H126">
            <v>6039.6</v>
          </cell>
          <cell r="I126">
            <v>1806.91</v>
          </cell>
          <cell r="J126">
            <v>4816.78</v>
          </cell>
          <cell r="K126">
            <v>2397.62</v>
          </cell>
          <cell r="L126">
            <v>8742.8700000000008</v>
          </cell>
          <cell r="M126">
            <v>42454.92</v>
          </cell>
          <cell r="N126">
            <v>17764.18</v>
          </cell>
        </row>
        <row r="127">
          <cell r="D127" t="str">
            <v>BC/BS HOUSESTAFF APPEAL</v>
          </cell>
          <cell r="E127" t="str">
            <v>NEW A/R</v>
          </cell>
          <cell r="F127">
            <v>0</v>
          </cell>
          <cell r="G127">
            <v>541</v>
          </cell>
          <cell r="H127">
            <v>591.94000000000005</v>
          </cell>
          <cell r="I127">
            <v>100</v>
          </cell>
          <cell r="J127">
            <v>51.11</v>
          </cell>
          <cell r="K127">
            <v>0</v>
          </cell>
          <cell r="L127">
            <v>-76.61</v>
          </cell>
          <cell r="M127">
            <v>1207.44</v>
          </cell>
          <cell r="N127">
            <v>74.500000000000014</v>
          </cell>
        </row>
        <row r="128">
          <cell r="D128" t="str">
            <v>GEHA APPEAL</v>
          </cell>
          <cell r="E128" t="str">
            <v>NEW A/R</v>
          </cell>
          <cell r="F128">
            <v>0</v>
          </cell>
          <cell r="G128">
            <v>0</v>
          </cell>
          <cell r="H128">
            <v>0</v>
          </cell>
          <cell r="I128">
            <v>143</v>
          </cell>
          <cell r="J128">
            <v>0</v>
          </cell>
          <cell r="K128">
            <v>0</v>
          </cell>
          <cell r="L128">
            <v>0</v>
          </cell>
          <cell r="M128">
            <v>143</v>
          </cell>
          <cell r="N128">
            <v>143</v>
          </cell>
        </row>
        <row r="129">
          <cell r="D129" t="str">
            <v>WORKERS COMP APPEAL</v>
          </cell>
          <cell r="E129" t="str">
            <v>NEW A/R</v>
          </cell>
          <cell r="F129">
            <v>499</v>
          </cell>
          <cell r="G129">
            <v>5543</v>
          </cell>
          <cell r="H129">
            <v>3246</v>
          </cell>
          <cell r="I129">
            <v>9510</v>
          </cell>
          <cell r="J129">
            <v>5495</v>
          </cell>
          <cell r="K129">
            <v>18992</v>
          </cell>
          <cell r="L129">
            <v>29667.58</v>
          </cell>
          <cell r="M129">
            <v>72952.58</v>
          </cell>
          <cell r="N129">
            <v>63664.58</v>
          </cell>
        </row>
        <row r="130">
          <cell r="D130" t="str">
            <v>BC/BS APPEAL</v>
          </cell>
          <cell r="E130" t="str">
            <v>NEW A/R</v>
          </cell>
          <cell r="F130">
            <v>25166.62</v>
          </cell>
          <cell r="G130">
            <v>32132.94</v>
          </cell>
          <cell r="H130">
            <v>20838.88</v>
          </cell>
          <cell r="I130">
            <v>10244.59</v>
          </cell>
          <cell r="J130">
            <v>7312.95</v>
          </cell>
          <cell r="K130">
            <v>1928.64</v>
          </cell>
          <cell r="L130">
            <v>7108.34</v>
          </cell>
          <cell r="M130">
            <v>104732.95999999999</v>
          </cell>
          <cell r="N130">
            <v>26594.52</v>
          </cell>
        </row>
        <row r="131">
          <cell r="D131" t="str">
            <v>PRINCIPLE FINANCIAL APPEAL</v>
          </cell>
          <cell r="E131" t="str">
            <v>NEW A/R</v>
          </cell>
          <cell r="F131">
            <v>0</v>
          </cell>
          <cell r="G131">
            <v>510</v>
          </cell>
          <cell r="H131">
            <v>371</v>
          </cell>
          <cell r="I131">
            <v>0</v>
          </cell>
          <cell r="J131">
            <v>61</v>
          </cell>
          <cell r="K131">
            <v>0</v>
          </cell>
          <cell r="L131">
            <v>-87.56</v>
          </cell>
          <cell r="M131">
            <v>854.44</v>
          </cell>
          <cell r="N131">
            <v>-26.560000000000002</v>
          </cell>
        </row>
        <row r="132">
          <cell r="D132" t="str">
            <v>CIGNA HEALTH PLAN</v>
          </cell>
          <cell r="E132" t="str">
            <v>NEW A/R</v>
          </cell>
          <cell r="F132">
            <v>125255.84</v>
          </cell>
          <cell r="G132">
            <v>23397.66</v>
          </cell>
          <cell r="H132">
            <v>6745.96</v>
          </cell>
          <cell r="I132">
            <v>367.3</v>
          </cell>
          <cell r="J132">
            <v>1909</v>
          </cell>
          <cell r="K132">
            <v>1422.41</v>
          </cell>
          <cell r="L132">
            <v>-9351.34</v>
          </cell>
          <cell r="M132">
            <v>149746.82999999999</v>
          </cell>
          <cell r="N132">
            <v>-5652.63</v>
          </cell>
        </row>
        <row r="133">
          <cell r="D133" t="str">
            <v>CIGNA HEALTH PLAN APPEAL</v>
          </cell>
          <cell r="E133" t="str">
            <v>NEW A/R</v>
          </cell>
          <cell r="F133">
            <v>2144.0300000000002</v>
          </cell>
          <cell r="G133">
            <v>58215.040000000001</v>
          </cell>
          <cell r="H133">
            <v>7941.19</v>
          </cell>
          <cell r="I133">
            <v>2823.96</v>
          </cell>
          <cell r="J133">
            <v>890.9</v>
          </cell>
          <cell r="K133">
            <v>7962.33</v>
          </cell>
          <cell r="L133">
            <v>2900.1</v>
          </cell>
          <cell r="M133">
            <v>82877.55</v>
          </cell>
          <cell r="N133">
            <v>14577.29</v>
          </cell>
        </row>
        <row r="134">
          <cell r="D134" t="str">
            <v>MUTUAL OF OMAHA</v>
          </cell>
          <cell r="E134" t="str">
            <v>NEW A/R</v>
          </cell>
          <cell r="F134">
            <v>1541.95</v>
          </cell>
          <cell r="G134">
            <v>189.93</v>
          </cell>
          <cell r="H134">
            <v>12.75</v>
          </cell>
          <cell r="I134">
            <v>0</v>
          </cell>
          <cell r="J134">
            <v>23.86</v>
          </cell>
          <cell r="K134">
            <v>46.19</v>
          </cell>
          <cell r="L134">
            <v>-59.96</v>
          </cell>
          <cell r="M134">
            <v>1754.72</v>
          </cell>
          <cell r="N134">
            <v>10.089999999999996</v>
          </cell>
        </row>
        <row r="135">
          <cell r="D135" t="str">
            <v>MUTUAL OF OMAHA APPEAL</v>
          </cell>
          <cell r="E135" t="str">
            <v>NEW A/R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 t="str">
            <v>BC/BS APPEAL - UH EMPLOYEES</v>
          </cell>
          <cell r="E136" t="str">
            <v>NEW A/R</v>
          </cell>
          <cell r="F136">
            <v>8839.61</v>
          </cell>
          <cell r="G136">
            <v>12570.36</v>
          </cell>
          <cell r="H136">
            <v>8565.64</v>
          </cell>
          <cell r="I136">
            <v>1310</v>
          </cell>
          <cell r="J136">
            <v>1170.56</v>
          </cell>
          <cell r="K136">
            <v>0</v>
          </cell>
          <cell r="L136">
            <v>760</v>
          </cell>
          <cell r="M136">
            <v>33216.17</v>
          </cell>
          <cell r="N136">
            <v>3240.56</v>
          </cell>
        </row>
        <row r="137">
          <cell r="D137" t="str">
            <v>LOVELACE HEALTH PLAN HMO/PPO</v>
          </cell>
          <cell r="E137" t="str">
            <v>NEW A/R</v>
          </cell>
          <cell r="F137">
            <v>306599.65000000002</v>
          </cell>
          <cell r="G137">
            <v>52495.38</v>
          </cell>
          <cell r="H137">
            <v>5937.61</v>
          </cell>
          <cell r="I137">
            <v>678.85</v>
          </cell>
          <cell r="J137">
            <v>1509.54</v>
          </cell>
          <cell r="K137">
            <v>-758.53</v>
          </cell>
          <cell r="L137">
            <v>-4942.42</v>
          </cell>
          <cell r="M137">
            <v>361520.07999999996</v>
          </cell>
          <cell r="N137">
            <v>-3512.5600000000004</v>
          </cell>
        </row>
        <row r="138">
          <cell r="D138" t="str">
            <v>HMO, NEW MEXICO</v>
          </cell>
          <cell r="E138" t="str">
            <v>NEW A/R</v>
          </cell>
          <cell r="F138">
            <v>3416</v>
          </cell>
          <cell r="G138">
            <v>11.83</v>
          </cell>
          <cell r="H138">
            <v>475</v>
          </cell>
          <cell r="I138">
            <v>0</v>
          </cell>
          <cell r="J138">
            <v>0</v>
          </cell>
          <cell r="K138">
            <v>0</v>
          </cell>
          <cell r="L138">
            <v>-1187.0999999999999</v>
          </cell>
          <cell r="M138">
            <v>2715.73</v>
          </cell>
          <cell r="N138">
            <v>-1187.0999999999999</v>
          </cell>
        </row>
        <row r="139">
          <cell r="D139" t="str">
            <v>BC/BS HOUSESTAFF HMO/PPO</v>
          </cell>
          <cell r="E139" t="str">
            <v>NEW A/R</v>
          </cell>
          <cell r="F139">
            <v>58445.07</v>
          </cell>
          <cell r="G139">
            <v>3603.15</v>
          </cell>
          <cell r="H139">
            <v>152</v>
          </cell>
          <cell r="I139">
            <v>2193.64</v>
          </cell>
          <cell r="J139">
            <v>-465.7</v>
          </cell>
          <cell r="K139">
            <v>-864.43</v>
          </cell>
          <cell r="L139">
            <v>-1669.76</v>
          </cell>
          <cell r="M139">
            <v>61393.97</v>
          </cell>
          <cell r="N139">
            <v>-806.25000000000011</v>
          </cell>
        </row>
        <row r="140">
          <cell r="D140" t="str">
            <v>PRESBYTERIAN HEALTH PLAN HMO/PPO</v>
          </cell>
          <cell r="E140" t="str">
            <v>NEW A/R</v>
          </cell>
          <cell r="F140">
            <v>689832.2</v>
          </cell>
          <cell r="G140">
            <v>96604.93</v>
          </cell>
          <cell r="H140">
            <v>47746.61</v>
          </cell>
          <cell r="I140">
            <v>1463.62</v>
          </cell>
          <cell r="J140">
            <v>-15.79</v>
          </cell>
          <cell r="K140">
            <v>3082.67</v>
          </cell>
          <cell r="L140">
            <v>-21112.31</v>
          </cell>
          <cell r="M140">
            <v>817601.92999999982</v>
          </cell>
          <cell r="N140">
            <v>-16581.810000000001</v>
          </cell>
        </row>
        <row r="141">
          <cell r="D141" t="str">
            <v>PRESBYTERIAN HEALTH PLAN INDEMNITY</v>
          </cell>
          <cell r="E141" t="str">
            <v>NEW A/R</v>
          </cell>
          <cell r="F141">
            <v>13135</v>
          </cell>
          <cell r="G141">
            <v>775</v>
          </cell>
          <cell r="H141">
            <v>116</v>
          </cell>
          <cell r="I141">
            <v>0</v>
          </cell>
          <cell r="J141">
            <v>0</v>
          </cell>
          <cell r="K141">
            <v>0</v>
          </cell>
          <cell r="L141">
            <v>278.33</v>
          </cell>
          <cell r="M141">
            <v>14304.33</v>
          </cell>
          <cell r="N141">
            <v>278.33</v>
          </cell>
        </row>
        <row r="142">
          <cell r="D142" t="str">
            <v>UNITED HEALTH CARE APPEAL</v>
          </cell>
          <cell r="E142" t="str">
            <v>NEW A/R</v>
          </cell>
          <cell r="F142">
            <v>14199.73</v>
          </cell>
          <cell r="G142">
            <v>50002.05</v>
          </cell>
          <cell r="H142">
            <v>20059.419999999998</v>
          </cell>
          <cell r="I142">
            <v>30105.200000000001</v>
          </cell>
          <cell r="J142">
            <v>14614.29</v>
          </cell>
          <cell r="K142">
            <v>13323.82</v>
          </cell>
          <cell r="L142">
            <v>20649.13</v>
          </cell>
          <cell r="M142">
            <v>162953.64000000001</v>
          </cell>
          <cell r="N142">
            <v>78692.44</v>
          </cell>
        </row>
        <row r="143">
          <cell r="D143" t="str">
            <v>HCH ADMINISTRATORS/CIMARRON ADVANTAGE</v>
          </cell>
          <cell r="E143" t="str">
            <v>NEW A/R</v>
          </cell>
          <cell r="F143">
            <v>31895.09</v>
          </cell>
          <cell r="G143">
            <v>7895.3</v>
          </cell>
          <cell r="H143">
            <v>1201</v>
          </cell>
          <cell r="I143">
            <v>0</v>
          </cell>
          <cell r="J143">
            <v>27.68</v>
          </cell>
          <cell r="K143">
            <v>399</v>
          </cell>
          <cell r="L143">
            <v>-853.33</v>
          </cell>
          <cell r="M143">
            <v>40564.74</v>
          </cell>
          <cell r="N143">
            <v>-426.65000000000003</v>
          </cell>
        </row>
        <row r="144">
          <cell r="D144" t="str">
            <v>HCH ADMINISTRATORS APPEAL</v>
          </cell>
          <cell r="E144" t="str">
            <v>NEW A/R</v>
          </cell>
          <cell r="F144">
            <v>0</v>
          </cell>
          <cell r="G144">
            <v>0</v>
          </cell>
          <cell r="H144">
            <v>0</v>
          </cell>
          <cell r="I144">
            <v>338</v>
          </cell>
          <cell r="J144">
            <v>907</v>
          </cell>
          <cell r="K144">
            <v>116</v>
          </cell>
          <cell r="L144">
            <v>0</v>
          </cell>
          <cell r="M144">
            <v>1361</v>
          </cell>
          <cell r="N144">
            <v>1361</v>
          </cell>
        </row>
        <row r="145">
          <cell r="D145" t="str">
            <v>PRINCIPAL LIFE/COMM'L</v>
          </cell>
          <cell r="E145" t="str">
            <v>NEW A/R</v>
          </cell>
          <cell r="F145">
            <v>4758.83</v>
          </cell>
          <cell r="G145">
            <v>924.74</v>
          </cell>
          <cell r="H145">
            <v>141</v>
          </cell>
          <cell r="I145">
            <v>-48.46</v>
          </cell>
          <cell r="J145">
            <v>-37.71</v>
          </cell>
          <cell r="K145">
            <v>0</v>
          </cell>
          <cell r="L145">
            <v>-333.92</v>
          </cell>
          <cell r="M145">
            <v>5404.48</v>
          </cell>
          <cell r="N145">
            <v>-420.09000000000003</v>
          </cell>
        </row>
        <row r="146">
          <cell r="D146" t="str">
            <v>STUDENT INSURANCE</v>
          </cell>
          <cell r="E146" t="str">
            <v>NEW A/R</v>
          </cell>
          <cell r="F146">
            <v>17360</v>
          </cell>
          <cell r="G146">
            <v>9442.1200000000008</v>
          </cell>
          <cell r="H146">
            <v>1529</v>
          </cell>
          <cell r="I146">
            <v>940</v>
          </cell>
          <cell r="J146">
            <v>100</v>
          </cell>
          <cell r="K146">
            <v>0</v>
          </cell>
          <cell r="L146">
            <v>1662.48</v>
          </cell>
          <cell r="M146">
            <v>31033.600000000002</v>
          </cell>
          <cell r="N146">
            <v>2702.48</v>
          </cell>
        </row>
        <row r="147">
          <cell r="D147" t="str">
            <v>STUDENT INS APPEAL</v>
          </cell>
          <cell r="E147" t="str">
            <v>NEW A/R</v>
          </cell>
          <cell r="F147">
            <v>0</v>
          </cell>
          <cell r="G147">
            <v>0</v>
          </cell>
          <cell r="H147">
            <v>84</v>
          </cell>
          <cell r="I147">
            <v>0</v>
          </cell>
          <cell r="J147">
            <v>0</v>
          </cell>
          <cell r="K147">
            <v>0</v>
          </cell>
          <cell r="L147">
            <v>214</v>
          </cell>
          <cell r="M147">
            <v>298</v>
          </cell>
          <cell r="N147">
            <v>214</v>
          </cell>
        </row>
        <row r="148">
          <cell r="D148" t="str">
            <v>PRESBYTERIAN H/P-APPEAL</v>
          </cell>
          <cell r="E148" t="str">
            <v>NEW A/R</v>
          </cell>
          <cell r="F148">
            <v>13427</v>
          </cell>
          <cell r="G148">
            <v>9824.94</v>
          </cell>
          <cell r="H148">
            <v>31823.73</v>
          </cell>
          <cell r="I148">
            <v>4827.6499999999996</v>
          </cell>
          <cell r="J148">
            <v>7834.2</v>
          </cell>
          <cell r="K148">
            <v>3779.6</v>
          </cell>
          <cell r="L148">
            <v>9586.0400000000009</v>
          </cell>
          <cell r="M148">
            <v>81103.16</v>
          </cell>
          <cell r="N148">
            <v>26027.489999999998</v>
          </cell>
        </row>
        <row r="149">
          <cell r="D149" t="str">
            <v>AARP</v>
          </cell>
          <cell r="E149" t="str">
            <v>NEW A/R</v>
          </cell>
          <cell r="F149">
            <v>5026.72</v>
          </cell>
          <cell r="G149">
            <v>1170.24</v>
          </cell>
          <cell r="H149">
            <v>610.53</v>
          </cell>
          <cell r="I149">
            <v>-113.6</v>
          </cell>
          <cell r="J149">
            <v>-164.17</v>
          </cell>
          <cell r="K149">
            <v>-83.26</v>
          </cell>
          <cell r="L149">
            <v>-1256.8800000000001</v>
          </cell>
          <cell r="M149">
            <v>5189.579999999999</v>
          </cell>
          <cell r="N149">
            <v>-1617.91</v>
          </cell>
        </row>
        <row r="150">
          <cell r="D150" t="str">
            <v>AARP APPEAL</v>
          </cell>
          <cell r="E150" t="str">
            <v>NEW A/R</v>
          </cell>
          <cell r="F150">
            <v>0</v>
          </cell>
          <cell r="G150">
            <v>1921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1921</v>
          </cell>
          <cell r="N150">
            <v>0</v>
          </cell>
        </row>
        <row r="151">
          <cell r="D151" t="str">
            <v>UNITED HEALTH CARE</v>
          </cell>
          <cell r="E151" t="str">
            <v>NEW A/R</v>
          </cell>
          <cell r="F151">
            <v>246085.18</v>
          </cell>
          <cell r="G151">
            <v>32155.67</v>
          </cell>
          <cell r="H151">
            <v>31987.05</v>
          </cell>
          <cell r="I151">
            <v>6534.06</v>
          </cell>
          <cell r="J151">
            <v>4504.0200000000004</v>
          </cell>
          <cell r="K151">
            <v>1376.93</v>
          </cell>
          <cell r="L151">
            <v>-17605.98</v>
          </cell>
          <cell r="M151">
            <v>305036.93</v>
          </cell>
          <cell r="N151">
            <v>-5190.9699999999975</v>
          </cell>
        </row>
        <row r="152">
          <cell r="D152" t="str">
            <v>AETNA APPEAL</v>
          </cell>
          <cell r="E152" t="str">
            <v>NEW A/R</v>
          </cell>
          <cell r="F152">
            <v>3401.21</v>
          </cell>
          <cell r="G152">
            <v>10910.34</v>
          </cell>
          <cell r="H152">
            <v>10651.09</v>
          </cell>
          <cell r="I152">
            <v>1958.74</v>
          </cell>
          <cell r="J152">
            <v>4109.47</v>
          </cell>
          <cell r="K152">
            <v>5854.08</v>
          </cell>
          <cell r="L152">
            <v>2357.56</v>
          </cell>
          <cell r="M152">
            <v>39242.49</v>
          </cell>
          <cell r="N152">
            <v>14279.85</v>
          </cell>
        </row>
        <row r="153">
          <cell r="D153" t="str">
            <v>SPECIAL PROJECT UNITED HEALTH</v>
          </cell>
          <cell r="E153" t="str">
            <v>NEW A/R</v>
          </cell>
          <cell r="F153">
            <v>0</v>
          </cell>
          <cell r="G153">
            <v>1801</v>
          </cell>
          <cell r="H153">
            <v>8885</v>
          </cell>
          <cell r="I153">
            <v>13196.88</v>
          </cell>
          <cell r="J153">
            <v>15546.72</v>
          </cell>
          <cell r="K153">
            <v>17561.7</v>
          </cell>
          <cell r="L153">
            <v>40535.99</v>
          </cell>
          <cell r="M153">
            <v>97527.290000000008</v>
          </cell>
          <cell r="N153">
            <v>86841.290000000008</v>
          </cell>
        </row>
        <row r="154">
          <cell r="D154" t="str">
            <v>OTHER/COMMERCIAL INS SECONDARY</v>
          </cell>
          <cell r="E154" t="str">
            <v>NEW A/R</v>
          </cell>
          <cell r="F154">
            <v>0</v>
          </cell>
          <cell r="G154">
            <v>75.650000000000006</v>
          </cell>
          <cell r="H154">
            <v>85.3</v>
          </cell>
          <cell r="I154">
            <v>5379.92</v>
          </cell>
          <cell r="J154">
            <v>361.96</v>
          </cell>
          <cell r="K154">
            <v>122.42</v>
          </cell>
          <cell r="L154">
            <v>-646.62</v>
          </cell>
          <cell r="M154">
            <v>5378.63</v>
          </cell>
          <cell r="N154">
            <v>5217.68</v>
          </cell>
        </row>
        <row r="155">
          <cell r="D155" t="str">
            <v>OTHER/ COMMERCIAL INSURANCE</v>
          </cell>
          <cell r="E155" t="str">
            <v>NEW A/R</v>
          </cell>
          <cell r="F155">
            <v>353998.8</v>
          </cell>
          <cell r="G155">
            <v>152994.49</v>
          </cell>
          <cell r="H155">
            <v>143441.46</v>
          </cell>
          <cell r="I155">
            <v>50196.39</v>
          </cell>
          <cell r="J155">
            <v>25782.89</v>
          </cell>
          <cell r="K155">
            <v>9913.15</v>
          </cell>
          <cell r="L155">
            <v>-6982.54</v>
          </cell>
          <cell r="M155">
            <v>729344.64</v>
          </cell>
          <cell r="N155">
            <v>78909.89</v>
          </cell>
        </row>
        <row r="156">
          <cell r="D156" t="str">
            <v>PAID UP FRONT</v>
          </cell>
          <cell r="E156" t="str">
            <v>NEW A/R</v>
          </cell>
          <cell r="F156">
            <v>2830.5</v>
          </cell>
          <cell r="G156">
            <v>6156</v>
          </cell>
          <cell r="H156">
            <v>1377</v>
          </cell>
          <cell r="I156">
            <v>2118</v>
          </cell>
          <cell r="J156">
            <v>851</v>
          </cell>
          <cell r="K156">
            <v>860</v>
          </cell>
          <cell r="L156">
            <v>6755.53</v>
          </cell>
          <cell r="M156">
            <v>20948.03</v>
          </cell>
          <cell r="N156">
            <v>10584.529999999999</v>
          </cell>
        </row>
        <row r="157">
          <cell r="D157" t="str">
            <v>RISK MANAGEMENT-SELF PAY</v>
          </cell>
          <cell r="E157" t="str">
            <v>NEW A/R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-199.28</v>
          </cell>
          <cell r="M157">
            <v>-199.28</v>
          </cell>
          <cell r="N157">
            <v>-199.28</v>
          </cell>
        </row>
        <row r="158">
          <cell r="D158" t="str">
            <v>PENDING COPAY</v>
          </cell>
          <cell r="E158" t="str">
            <v>NEW A/R</v>
          </cell>
          <cell r="F158">
            <v>43786.67</v>
          </cell>
          <cell r="G158">
            <v>42147.86</v>
          </cell>
          <cell r="H158">
            <v>994.65</v>
          </cell>
          <cell r="I158">
            <v>367.65</v>
          </cell>
          <cell r="J158">
            <v>255</v>
          </cell>
          <cell r="K158">
            <v>5</v>
          </cell>
          <cell r="L158">
            <v>43.89</v>
          </cell>
          <cell r="M158">
            <v>87600.719999999987</v>
          </cell>
          <cell r="N158">
            <v>671.54</v>
          </cell>
        </row>
        <row r="159">
          <cell r="D159" t="str">
            <v>COMMISSION FOR THE BLIND</v>
          </cell>
          <cell r="E159" t="str">
            <v>NEW A/R</v>
          </cell>
          <cell r="F159">
            <v>0</v>
          </cell>
          <cell r="G159">
            <v>0</v>
          </cell>
          <cell r="H159">
            <v>0</v>
          </cell>
          <cell r="I159">
            <v>1911</v>
          </cell>
          <cell r="J159">
            <v>0</v>
          </cell>
          <cell r="K159">
            <v>0</v>
          </cell>
          <cell r="L159">
            <v>-3202</v>
          </cell>
          <cell r="M159">
            <v>-1291</v>
          </cell>
          <cell r="N159">
            <v>-1291</v>
          </cell>
        </row>
        <row r="160">
          <cell r="D160" t="str">
            <v>ELIGIBILITY</v>
          </cell>
          <cell r="E160" t="str">
            <v>NEW A/R</v>
          </cell>
          <cell r="F160">
            <v>137732.26</v>
          </cell>
          <cell r="G160">
            <v>44021.04</v>
          </cell>
          <cell r="H160">
            <v>6646.33</v>
          </cell>
          <cell r="I160">
            <v>4048.82</v>
          </cell>
          <cell r="J160">
            <v>1081.97</v>
          </cell>
          <cell r="K160">
            <v>889.78</v>
          </cell>
          <cell r="L160">
            <v>2209.09</v>
          </cell>
          <cell r="M160">
            <v>196629.29</v>
          </cell>
          <cell r="N160">
            <v>8229.66</v>
          </cell>
        </row>
        <row r="161">
          <cell r="D161" t="str">
            <v>BAD HOSP PLAN FOR TES</v>
          </cell>
          <cell r="E161" t="str">
            <v>NEW A/R</v>
          </cell>
          <cell r="F161">
            <v>0</v>
          </cell>
          <cell r="G161">
            <v>0</v>
          </cell>
          <cell r="H161">
            <v>278</v>
          </cell>
          <cell r="I161">
            <v>662</v>
          </cell>
          <cell r="J161">
            <v>31.16</v>
          </cell>
          <cell r="K161">
            <v>135.76</v>
          </cell>
          <cell r="L161">
            <v>-328</v>
          </cell>
          <cell r="M161">
            <v>778.92000000000007</v>
          </cell>
          <cell r="N161">
            <v>500.91999999999996</v>
          </cell>
        </row>
        <row r="162">
          <cell r="D162" t="str">
            <v>UNMMG SELF PAY REVIEW</v>
          </cell>
          <cell r="E162" t="str">
            <v>NEW A/R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D163" t="str">
            <v>COPAY SUSPENSE</v>
          </cell>
          <cell r="E163" t="str">
            <v>NEW A/R</v>
          </cell>
          <cell r="F163">
            <v>33592.57</v>
          </cell>
          <cell r="G163">
            <v>51874.52</v>
          </cell>
          <cell r="H163">
            <v>-190</v>
          </cell>
          <cell r="I163">
            <v>-421.4</v>
          </cell>
          <cell r="J163">
            <v>-355.49</v>
          </cell>
          <cell r="K163">
            <v>-536</v>
          </cell>
          <cell r="L163">
            <v>-2046.87</v>
          </cell>
          <cell r="M163">
            <v>81917.33</v>
          </cell>
          <cell r="N163">
            <v>-3359.7599999999998</v>
          </cell>
        </row>
        <row r="164">
          <cell r="D164" t="str">
            <v>FINANCIAL ASSISTANCE PROGRAM</v>
          </cell>
          <cell r="E164" t="str">
            <v>NEW A/R</v>
          </cell>
          <cell r="F164">
            <v>105632.6</v>
          </cell>
          <cell r="G164">
            <v>52624.4</v>
          </cell>
          <cell r="H164">
            <v>37982.949999999997</v>
          </cell>
          <cell r="I164">
            <v>13632.13</v>
          </cell>
          <cell r="J164">
            <v>54.15</v>
          </cell>
          <cell r="K164">
            <v>0</v>
          </cell>
          <cell r="L164">
            <v>-128.69999999999999</v>
          </cell>
          <cell r="M164">
            <v>209797.53</v>
          </cell>
          <cell r="N164">
            <v>13557.579999999998</v>
          </cell>
        </row>
        <row r="165">
          <cell r="D165" t="str">
            <v>M &amp; I INDIGENT</v>
          </cell>
          <cell r="E165" t="str">
            <v>NEW A/R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116</v>
          </cell>
          <cell r="M165">
            <v>116</v>
          </cell>
          <cell r="N165">
            <v>116</v>
          </cell>
        </row>
        <row r="166">
          <cell r="D166" t="str">
            <v>RETURNED MAIL</v>
          </cell>
          <cell r="E166" t="str">
            <v>NEW A/R</v>
          </cell>
          <cell r="F166">
            <v>289.01</v>
          </cell>
          <cell r="G166">
            <v>752.58</v>
          </cell>
          <cell r="H166">
            <v>447.62</v>
          </cell>
          <cell r="I166">
            <v>113.44</v>
          </cell>
          <cell r="J166">
            <v>179.44</v>
          </cell>
          <cell r="K166">
            <v>13.32</v>
          </cell>
          <cell r="L166">
            <v>10</v>
          </cell>
          <cell r="M166">
            <v>1805.41</v>
          </cell>
          <cell r="N166">
            <v>316.2</v>
          </cell>
        </row>
        <row r="167">
          <cell r="D167" t="str">
            <v>HIGH RISK PRE-NATAL</v>
          </cell>
          <cell r="E167" t="str">
            <v>NEW A/R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 t="str">
            <v>JUVENILE JUSTICE SYSTEM</v>
          </cell>
          <cell r="E168" t="str">
            <v>NEW A/R</v>
          </cell>
          <cell r="F168">
            <v>8686</v>
          </cell>
          <cell r="G168">
            <v>2056</v>
          </cell>
          <cell r="H168">
            <v>175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10917</v>
          </cell>
          <cell r="N168">
            <v>0</v>
          </cell>
        </row>
        <row r="169">
          <cell r="D169" t="str">
            <v>CRIME VICTIMS</v>
          </cell>
          <cell r="E169" t="str">
            <v>NEW A/R</v>
          </cell>
          <cell r="F169">
            <v>65</v>
          </cell>
          <cell r="G169">
            <v>578</v>
          </cell>
          <cell r="H169">
            <v>30</v>
          </cell>
          <cell r="I169">
            <v>350.24</v>
          </cell>
          <cell r="J169">
            <v>642</v>
          </cell>
          <cell r="K169">
            <v>2034</v>
          </cell>
          <cell r="L169">
            <v>27442.59</v>
          </cell>
          <cell r="M169">
            <v>31141.83</v>
          </cell>
          <cell r="N169">
            <v>30468.83</v>
          </cell>
        </row>
        <row r="170">
          <cell r="D170" t="str">
            <v>NM DONOR PROGRAM</v>
          </cell>
          <cell r="E170" t="str">
            <v>NEW A/R</v>
          </cell>
          <cell r="F170">
            <v>0</v>
          </cell>
          <cell r="G170">
            <v>2380</v>
          </cell>
          <cell r="H170">
            <v>0</v>
          </cell>
          <cell r="I170">
            <v>0</v>
          </cell>
          <cell r="J170">
            <v>170</v>
          </cell>
          <cell r="K170">
            <v>850</v>
          </cell>
          <cell r="L170">
            <v>1420</v>
          </cell>
          <cell r="M170">
            <v>4820</v>
          </cell>
          <cell r="N170">
            <v>2440</v>
          </cell>
        </row>
        <row r="171">
          <cell r="D171" t="str">
            <v>NM SCP&amp;T</v>
          </cell>
          <cell r="E171" t="str">
            <v>NEW A/R</v>
          </cell>
          <cell r="F171">
            <v>5302</v>
          </cell>
          <cell r="G171">
            <v>31539</v>
          </cell>
          <cell r="H171">
            <v>5525</v>
          </cell>
          <cell r="I171">
            <v>20447</v>
          </cell>
          <cell r="J171">
            <v>537</v>
          </cell>
          <cell r="K171">
            <v>0</v>
          </cell>
          <cell r="L171">
            <v>337</v>
          </cell>
          <cell r="M171">
            <v>63687</v>
          </cell>
          <cell r="N171">
            <v>21321</v>
          </cell>
        </row>
        <row r="172">
          <cell r="D172" t="str">
            <v>UNM EOHS</v>
          </cell>
          <cell r="E172" t="str">
            <v>NEW A/R</v>
          </cell>
          <cell r="F172">
            <v>10483.5</v>
          </cell>
          <cell r="G172">
            <v>13698</v>
          </cell>
          <cell r="H172">
            <v>2928</v>
          </cell>
          <cell r="I172">
            <v>936</v>
          </cell>
          <cell r="J172">
            <v>145</v>
          </cell>
          <cell r="K172">
            <v>387</v>
          </cell>
          <cell r="L172">
            <v>1892.73</v>
          </cell>
          <cell r="M172">
            <v>30470.23</v>
          </cell>
          <cell r="N172">
            <v>3360.73</v>
          </cell>
        </row>
        <row r="173">
          <cell r="D173" t="str">
            <v>WORKERS COMPENSATION HOSPITAL EMPLOYEES</v>
          </cell>
          <cell r="E173" t="str">
            <v>NEW A/R</v>
          </cell>
          <cell r="F173">
            <v>8629</v>
          </cell>
          <cell r="G173">
            <v>7131</v>
          </cell>
          <cell r="H173">
            <v>9611</v>
          </cell>
          <cell r="I173">
            <v>686</v>
          </cell>
          <cell r="J173">
            <v>-123</v>
          </cell>
          <cell r="K173">
            <v>21310</v>
          </cell>
          <cell r="L173">
            <v>4592</v>
          </cell>
          <cell r="M173">
            <v>51836</v>
          </cell>
          <cell r="N173">
            <v>26465</v>
          </cell>
        </row>
        <row r="174">
          <cell r="D174" t="str">
            <v>VA HOSPITAL, REFERRAL</v>
          </cell>
          <cell r="E174" t="str">
            <v>NEW A/R</v>
          </cell>
          <cell r="F174">
            <v>183115.42</v>
          </cell>
          <cell r="G174">
            <v>131298.78</v>
          </cell>
          <cell r="H174">
            <v>118409.34</v>
          </cell>
          <cell r="I174">
            <v>127602.8</v>
          </cell>
          <cell r="J174">
            <v>28925.42</v>
          </cell>
          <cell r="K174">
            <v>58029.91</v>
          </cell>
          <cell r="L174">
            <v>113991.4</v>
          </cell>
          <cell r="M174">
            <v>761373.07000000018</v>
          </cell>
          <cell r="N174">
            <v>328549.53000000003</v>
          </cell>
        </row>
        <row r="175">
          <cell r="D175" t="str">
            <v>V/O DEPARTMENT OF HEALTH</v>
          </cell>
          <cell r="E175" t="str">
            <v>NEW A/R</v>
          </cell>
          <cell r="F175">
            <v>630.42999999999995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-487.96</v>
          </cell>
          <cell r="M175">
            <v>142.46999999999997</v>
          </cell>
          <cell r="N175">
            <v>-487.96</v>
          </cell>
        </row>
        <row r="176">
          <cell r="D176" t="str">
            <v>TRUMAN STREET CLINIC-RYAN WHITE</v>
          </cell>
          <cell r="E176" t="str">
            <v>NEW A/R</v>
          </cell>
          <cell r="F176">
            <v>2096.87</v>
          </cell>
          <cell r="G176">
            <v>3573.11</v>
          </cell>
          <cell r="H176">
            <v>4058.39</v>
          </cell>
          <cell r="I176">
            <v>1167.99</v>
          </cell>
          <cell r="J176">
            <v>350.52</v>
          </cell>
          <cell r="K176">
            <v>577.79999999999995</v>
          </cell>
          <cell r="L176">
            <v>-534.27</v>
          </cell>
          <cell r="M176">
            <v>11290.409999999998</v>
          </cell>
          <cell r="N176">
            <v>1562.04</v>
          </cell>
        </row>
        <row r="177">
          <cell r="D177" t="str">
            <v>BREAST &amp; CERV CANCER PRGM-CDC</v>
          </cell>
          <cell r="E177" t="str">
            <v>NEW A/R</v>
          </cell>
          <cell r="F177">
            <v>0</v>
          </cell>
          <cell r="G177">
            <v>0</v>
          </cell>
          <cell r="H177">
            <v>0</v>
          </cell>
          <cell r="I177">
            <v>175.45</v>
          </cell>
          <cell r="J177">
            <v>0</v>
          </cell>
          <cell r="K177">
            <v>171</v>
          </cell>
          <cell r="L177">
            <v>3706.3</v>
          </cell>
          <cell r="M177">
            <v>4052.75</v>
          </cell>
          <cell r="N177">
            <v>4052.75</v>
          </cell>
        </row>
        <row r="178">
          <cell r="D178" t="str">
            <v>SPECIAL BILLING APPEAL</v>
          </cell>
          <cell r="E178" t="str">
            <v>NEW A/R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-5.55</v>
          </cell>
          <cell r="M178">
            <v>-5.55</v>
          </cell>
          <cell r="N178">
            <v>-5.55</v>
          </cell>
        </row>
        <row r="179">
          <cell r="D179" t="str">
            <v>SPECIAL BILLING (W/O CLAIMS)</v>
          </cell>
          <cell r="E179" t="str">
            <v>NEW A/R</v>
          </cell>
          <cell r="F179">
            <v>695191.38</v>
          </cell>
          <cell r="G179">
            <v>328217.14</v>
          </cell>
          <cell r="H179">
            <v>87656.95</v>
          </cell>
          <cell r="I179">
            <v>57559.55</v>
          </cell>
          <cell r="J179">
            <v>8284.5</v>
          </cell>
          <cell r="K179">
            <v>7599.5</v>
          </cell>
          <cell r="L179">
            <v>9075</v>
          </cell>
          <cell r="M179">
            <v>1193584.02</v>
          </cell>
          <cell r="N179">
            <v>82518.55</v>
          </cell>
        </row>
        <row r="180">
          <cell r="D180" t="str">
            <v>SUSPENSE/ALL</v>
          </cell>
          <cell r="E180" t="str">
            <v>NEW A/R</v>
          </cell>
          <cell r="F180">
            <v>-7747.76</v>
          </cell>
          <cell r="G180">
            <v>-1947.55</v>
          </cell>
          <cell r="H180">
            <v>-1256.32</v>
          </cell>
          <cell r="I180">
            <v>-2832.56</v>
          </cell>
          <cell r="J180">
            <v>-386.99</v>
          </cell>
          <cell r="K180">
            <v>-414.2</v>
          </cell>
          <cell r="L180">
            <v>-24388.25</v>
          </cell>
          <cell r="M180">
            <v>-38973.629999999997</v>
          </cell>
          <cell r="N180">
            <v>-28022</v>
          </cell>
        </row>
      </sheetData>
      <sheetData sheetId="14">
        <row r="1">
          <cell r="F1" t="str">
            <v>0-30</v>
          </cell>
          <cell r="G1" t="str">
            <v>31-60</v>
          </cell>
          <cell r="H1" t="str">
            <v>61-90</v>
          </cell>
          <cell r="I1" t="str">
            <v>91-120</v>
          </cell>
          <cell r="J1" t="str">
            <v>121-150</v>
          </cell>
          <cell r="K1" t="str">
            <v>151-180</v>
          </cell>
          <cell r="L1" t="str">
            <v>&gt;180</v>
          </cell>
          <cell r="M1" t="str">
            <v>Total</v>
          </cell>
          <cell r="N1" t="str">
            <v>over 90</v>
          </cell>
        </row>
        <row r="2">
          <cell r="D2" t="str">
            <v>AARP</v>
          </cell>
          <cell r="E2" t="str">
            <v>NEW A/R</v>
          </cell>
          <cell r="F2">
            <v>5193.22</v>
          </cell>
          <cell r="G2">
            <v>6595.78</v>
          </cell>
          <cell r="H2">
            <v>2823.7</v>
          </cell>
          <cell r="I2">
            <v>183.23</v>
          </cell>
          <cell r="J2">
            <v>40.24</v>
          </cell>
          <cell r="K2">
            <v>33.43</v>
          </cell>
          <cell r="L2">
            <v>-1195.79</v>
          </cell>
          <cell r="M2">
            <v>13673.810000000001</v>
          </cell>
          <cell r="N2">
            <v>-938.89</v>
          </cell>
        </row>
        <row r="3">
          <cell r="D3" t="str">
            <v>AARP APPEAL</v>
          </cell>
          <cell r="E3" t="str">
            <v>NEW A/R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86</v>
          </cell>
          <cell r="K3">
            <v>67.64</v>
          </cell>
          <cell r="L3">
            <v>0</v>
          </cell>
          <cell r="M3">
            <v>153.63999999999999</v>
          </cell>
          <cell r="N3">
            <v>153.63999999999999</v>
          </cell>
        </row>
        <row r="4">
          <cell r="D4" t="str">
            <v>AETNA APPEAL</v>
          </cell>
          <cell r="E4" t="str">
            <v>NEW A/R</v>
          </cell>
          <cell r="F4">
            <v>401</v>
          </cell>
          <cell r="G4">
            <v>15485.66</v>
          </cell>
          <cell r="H4">
            <v>2112.9699999999998</v>
          </cell>
          <cell r="I4">
            <v>29481.16</v>
          </cell>
          <cell r="J4">
            <v>513.16</v>
          </cell>
          <cell r="K4">
            <v>920.83</v>
          </cell>
          <cell r="L4">
            <v>3910.79</v>
          </cell>
          <cell r="M4">
            <v>52825.570000000007</v>
          </cell>
          <cell r="N4">
            <v>34825.94</v>
          </cell>
        </row>
        <row r="5">
          <cell r="D5" t="str">
            <v>AETNA HEALTH PLAN</v>
          </cell>
          <cell r="E5" t="str">
            <v>NEW A/R</v>
          </cell>
          <cell r="F5">
            <v>126447.42</v>
          </cell>
          <cell r="G5">
            <v>8599.14</v>
          </cell>
          <cell r="H5">
            <v>26705.79</v>
          </cell>
          <cell r="I5">
            <v>521</v>
          </cell>
          <cell r="J5">
            <v>940.93</v>
          </cell>
          <cell r="K5">
            <v>160</v>
          </cell>
          <cell r="L5">
            <v>-2086.87</v>
          </cell>
          <cell r="M5">
            <v>161287.41</v>
          </cell>
          <cell r="N5">
            <v>-464.94000000000005</v>
          </cell>
        </row>
        <row r="6">
          <cell r="D6" t="str">
            <v>AMERIGROUP MEDICAID</v>
          </cell>
          <cell r="E6" t="str">
            <v>NEW A/R</v>
          </cell>
          <cell r="F6">
            <v>73956.289999999994</v>
          </cell>
          <cell r="G6">
            <v>12142.01</v>
          </cell>
          <cell r="H6">
            <v>8846.51</v>
          </cell>
          <cell r="I6">
            <v>8112.46</v>
          </cell>
          <cell r="J6">
            <v>422.66</v>
          </cell>
          <cell r="K6">
            <v>-1381.76</v>
          </cell>
          <cell r="L6">
            <v>1414.59</v>
          </cell>
          <cell r="M6">
            <v>103512.76</v>
          </cell>
          <cell r="N6">
            <v>8567.9500000000007</v>
          </cell>
        </row>
        <row r="7">
          <cell r="D7" t="str">
            <v>AMERIGROUP MEDICAID APPEAL</v>
          </cell>
          <cell r="E7" t="str">
            <v>NEW A/R</v>
          </cell>
          <cell r="F7">
            <v>5856</v>
          </cell>
          <cell r="G7">
            <v>17568.36</v>
          </cell>
          <cell r="H7">
            <v>7145.27</v>
          </cell>
          <cell r="I7">
            <v>12775.47</v>
          </cell>
          <cell r="J7">
            <v>16902.189999999999</v>
          </cell>
          <cell r="K7">
            <v>16079.31</v>
          </cell>
          <cell r="L7">
            <v>44929.72</v>
          </cell>
          <cell r="M7">
            <v>121256.31999999999</v>
          </cell>
          <cell r="N7">
            <v>90686.69</v>
          </cell>
        </row>
        <row r="8">
          <cell r="D8" t="str">
            <v>ARGYLE COLLECTION</v>
          </cell>
          <cell r="E8" t="str">
            <v>NEW A/R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11256.03</v>
          </cell>
          <cell r="M8">
            <v>11256.03</v>
          </cell>
          <cell r="N8">
            <v>11256.03</v>
          </cell>
        </row>
        <row r="9">
          <cell r="D9" t="str">
            <v>BAD HOSP PLAN FOR TES</v>
          </cell>
          <cell r="E9" t="str">
            <v>NEW A/R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-328</v>
          </cell>
          <cell r="L9">
            <v>0</v>
          </cell>
          <cell r="M9">
            <v>-328</v>
          </cell>
          <cell r="N9">
            <v>-328</v>
          </cell>
        </row>
        <row r="10">
          <cell r="D10" t="str">
            <v>BC/BS - UH EMPLOYEES</v>
          </cell>
          <cell r="E10" t="str">
            <v>NEW A/R</v>
          </cell>
          <cell r="F10">
            <v>244576.5</v>
          </cell>
          <cell r="G10">
            <v>10795.25</v>
          </cell>
          <cell r="H10">
            <v>8727</v>
          </cell>
          <cell r="I10">
            <v>1274.52</v>
          </cell>
          <cell r="J10">
            <v>335.02</v>
          </cell>
          <cell r="K10">
            <v>100</v>
          </cell>
          <cell r="L10">
            <v>1779.77</v>
          </cell>
          <cell r="M10">
            <v>267588.06000000006</v>
          </cell>
          <cell r="N10">
            <v>3489.31</v>
          </cell>
        </row>
        <row r="11">
          <cell r="D11" t="str">
            <v>BC/BS APPEAL</v>
          </cell>
          <cell r="E11" t="str">
            <v>NEW A/R</v>
          </cell>
          <cell r="F11">
            <v>25277.09</v>
          </cell>
          <cell r="G11">
            <v>42119.81</v>
          </cell>
          <cell r="H11">
            <v>19313.14</v>
          </cell>
          <cell r="I11">
            <v>18933.62</v>
          </cell>
          <cell r="J11">
            <v>11615.74</v>
          </cell>
          <cell r="K11">
            <v>8129.51</v>
          </cell>
          <cell r="L11">
            <v>52129.42</v>
          </cell>
          <cell r="M11">
            <v>177518.33</v>
          </cell>
          <cell r="N11">
            <v>90808.290000000008</v>
          </cell>
        </row>
        <row r="12">
          <cell r="D12" t="str">
            <v>BC/BS APPEAL - UH EMPLOYEES</v>
          </cell>
          <cell r="E12" t="str">
            <v>NEW A/R</v>
          </cell>
          <cell r="F12">
            <v>4121</v>
          </cell>
          <cell r="G12">
            <v>4917.58</v>
          </cell>
          <cell r="H12">
            <v>5185</v>
          </cell>
          <cell r="I12">
            <v>2921</v>
          </cell>
          <cell r="J12">
            <v>792</v>
          </cell>
          <cell r="K12">
            <v>68</v>
          </cell>
          <cell r="L12">
            <v>804.77</v>
          </cell>
          <cell r="M12">
            <v>18809.350000000002</v>
          </cell>
          <cell r="N12">
            <v>4585.7700000000004</v>
          </cell>
        </row>
        <row r="13">
          <cell r="D13" t="str">
            <v>BC/BS HOUSESTAFF APPEAL</v>
          </cell>
          <cell r="E13" t="str">
            <v>NEW A/R</v>
          </cell>
          <cell r="F13">
            <v>0</v>
          </cell>
          <cell r="G13">
            <v>0</v>
          </cell>
          <cell r="H13">
            <v>174.58</v>
          </cell>
          <cell r="I13">
            <v>0</v>
          </cell>
          <cell r="J13">
            <v>0</v>
          </cell>
          <cell r="K13">
            <v>0</v>
          </cell>
          <cell r="L13">
            <v>500.16</v>
          </cell>
          <cell r="M13">
            <v>674.74</v>
          </cell>
          <cell r="N13">
            <v>500.16</v>
          </cell>
        </row>
        <row r="14">
          <cell r="D14" t="str">
            <v>BC/BS HOUSESTAFF HMO/PPO</v>
          </cell>
          <cell r="E14" t="str">
            <v>NEW A/R</v>
          </cell>
          <cell r="F14">
            <v>74310.33</v>
          </cell>
          <cell r="G14">
            <v>13261.86</v>
          </cell>
          <cell r="H14">
            <v>3837.97</v>
          </cell>
          <cell r="I14">
            <v>727.72</v>
          </cell>
          <cell r="J14">
            <v>-2.68</v>
          </cell>
          <cell r="K14">
            <v>-63.63</v>
          </cell>
          <cell r="L14">
            <v>862.86</v>
          </cell>
          <cell r="M14">
            <v>92934.430000000008</v>
          </cell>
          <cell r="N14">
            <v>1524.27</v>
          </cell>
        </row>
        <row r="15">
          <cell r="D15" t="str">
            <v>BC/BS OF NEW MEXICO</v>
          </cell>
          <cell r="E15" t="str">
            <v>NEW A/R</v>
          </cell>
          <cell r="F15">
            <v>715513.13</v>
          </cell>
          <cell r="G15">
            <v>56729.91</v>
          </cell>
          <cell r="H15">
            <v>26385.11</v>
          </cell>
          <cell r="I15">
            <v>19520.36</v>
          </cell>
          <cell r="J15">
            <v>2791.38</v>
          </cell>
          <cell r="K15">
            <v>2744.42</v>
          </cell>
          <cell r="L15">
            <v>-4171.17</v>
          </cell>
          <cell r="M15">
            <v>819513.14</v>
          </cell>
          <cell r="N15">
            <v>20884.990000000005</v>
          </cell>
        </row>
        <row r="16">
          <cell r="D16" t="str">
            <v>BC/BS OUT OF STATE</v>
          </cell>
          <cell r="E16" t="str">
            <v>NEW A/R</v>
          </cell>
          <cell r="F16">
            <v>370208.46</v>
          </cell>
          <cell r="G16">
            <v>17528.09</v>
          </cell>
          <cell r="H16">
            <v>8048.62</v>
          </cell>
          <cell r="I16">
            <v>12674.16</v>
          </cell>
          <cell r="J16">
            <v>773.74</v>
          </cell>
          <cell r="K16">
            <v>1484.18</v>
          </cell>
          <cell r="L16">
            <v>-644.66999999999996</v>
          </cell>
          <cell r="M16">
            <v>410072.58</v>
          </cell>
          <cell r="N16">
            <v>14287.41</v>
          </cell>
        </row>
        <row r="17">
          <cell r="D17" t="str">
            <v>BC/BS OUT OF STATE APPEAL</v>
          </cell>
          <cell r="E17" t="str">
            <v>NEW A/R</v>
          </cell>
          <cell r="F17">
            <v>8560.48</v>
          </cell>
          <cell r="G17">
            <v>13056.33</v>
          </cell>
          <cell r="H17">
            <v>8165.76</v>
          </cell>
          <cell r="I17">
            <v>15741.62</v>
          </cell>
          <cell r="J17">
            <v>16994.98</v>
          </cell>
          <cell r="K17">
            <v>5821.51</v>
          </cell>
          <cell r="L17">
            <v>72490.58</v>
          </cell>
          <cell r="M17">
            <v>140831.26</v>
          </cell>
          <cell r="N17">
            <v>111048.69</v>
          </cell>
        </row>
        <row r="18">
          <cell r="D18" t="str">
            <v>BLUE CROSS RECOUPS</v>
          </cell>
          <cell r="E18" t="str">
            <v>NEW A/R</v>
          </cell>
          <cell r="F18">
            <v>0</v>
          </cell>
          <cell r="G18">
            <v>0</v>
          </cell>
          <cell r="H18">
            <v>0</v>
          </cell>
          <cell r="I18">
            <v>93.86</v>
          </cell>
          <cell r="J18">
            <v>1081</v>
          </cell>
          <cell r="K18">
            <v>183</v>
          </cell>
          <cell r="L18">
            <v>-181.97</v>
          </cell>
          <cell r="M18">
            <v>1175.8899999999999</v>
          </cell>
          <cell r="N18">
            <v>1175.8899999999999</v>
          </cell>
        </row>
        <row r="19">
          <cell r="D19" t="str">
            <v>BLUE CROSS SALUD</v>
          </cell>
          <cell r="E19" t="str">
            <v>NEW A/R</v>
          </cell>
          <cell r="F19">
            <v>130615.47</v>
          </cell>
          <cell r="G19">
            <v>783.41</v>
          </cell>
          <cell r="H19">
            <v>2254.88</v>
          </cell>
          <cell r="I19">
            <v>1091.71</v>
          </cell>
          <cell r="J19">
            <v>2671.91</v>
          </cell>
          <cell r="K19">
            <v>0</v>
          </cell>
          <cell r="L19">
            <v>1174.3499999999999</v>
          </cell>
          <cell r="M19">
            <v>138591.73000000001</v>
          </cell>
          <cell r="N19">
            <v>4937.9699999999993</v>
          </cell>
        </row>
        <row r="20">
          <cell r="D20" t="str">
            <v>BLUE CROSS SALUD APPEAL</v>
          </cell>
          <cell r="E20" t="str">
            <v>NEW A/R</v>
          </cell>
          <cell r="F20">
            <v>2932</v>
          </cell>
          <cell r="G20">
            <v>576</v>
          </cell>
          <cell r="H20">
            <v>566</v>
          </cell>
          <cell r="I20">
            <v>1168</v>
          </cell>
          <cell r="J20">
            <v>634</v>
          </cell>
          <cell r="K20">
            <v>0</v>
          </cell>
          <cell r="L20">
            <v>270</v>
          </cell>
          <cell r="M20">
            <v>6146</v>
          </cell>
          <cell r="N20">
            <v>2072</v>
          </cell>
        </row>
        <row r="21">
          <cell r="D21" t="str">
            <v>BLUE CROSS SCI</v>
          </cell>
          <cell r="E21" t="str">
            <v>NEW A/R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 t="str">
            <v>BLUE MEDICARE PPO</v>
          </cell>
          <cell r="E22" t="str">
            <v>NEW A/R</v>
          </cell>
          <cell r="F22">
            <v>5066</v>
          </cell>
          <cell r="G22">
            <v>883</v>
          </cell>
          <cell r="H22">
            <v>2258</v>
          </cell>
          <cell r="I22">
            <v>448</v>
          </cell>
          <cell r="J22">
            <v>407</v>
          </cell>
          <cell r="K22">
            <v>0</v>
          </cell>
          <cell r="L22">
            <v>203</v>
          </cell>
          <cell r="M22">
            <v>9265</v>
          </cell>
          <cell r="N22">
            <v>1058</v>
          </cell>
        </row>
        <row r="23">
          <cell r="D23" t="str">
            <v>BLUE MEDICARE PPO APPEAL</v>
          </cell>
          <cell r="E23" t="str">
            <v>NEW A/R</v>
          </cell>
          <cell r="F23">
            <v>0</v>
          </cell>
          <cell r="G23">
            <v>0</v>
          </cell>
          <cell r="H23">
            <v>2091</v>
          </cell>
          <cell r="I23">
            <v>850</v>
          </cell>
          <cell r="J23">
            <v>0</v>
          </cell>
          <cell r="K23">
            <v>0</v>
          </cell>
          <cell r="L23">
            <v>2065.5</v>
          </cell>
          <cell r="M23">
            <v>5006.5</v>
          </cell>
          <cell r="N23">
            <v>2915.5</v>
          </cell>
        </row>
        <row r="24">
          <cell r="D24" t="str">
            <v>BREAST &amp; CERV CANCER PRGM-CDC</v>
          </cell>
          <cell r="E24" t="str">
            <v>NEW A/R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388</v>
          </cell>
          <cell r="M24">
            <v>388</v>
          </cell>
          <cell r="N24">
            <v>388</v>
          </cell>
        </row>
        <row r="25">
          <cell r="D25" t="str">
            <v>BUDGET PLAN ACCTS</v>
          </cell>
          <cell r="E25" t="str">
            <v>NEW A/R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20</v>
          </cell>
          <cell r="M25">
            <v>20</v>
          </cell>
          <cell r="N25">
            <v>20</v>
          </cell>
        </row>
        <row r="26">
          <cell r="D26" t="str">
            <v>CANCELLED FROM NCO</v>
          </cell>
          <cell r="E26" t="str">
            <v>NEW A/R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 t="str">
            <v>CANCELLED FROM NRS</v>
          </cell>
          <cell r="E27" t="str">
            <v>NEW A/R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 t="str">
            <v>CANCELLED FROM OSI</v>
          </cell>
          <cell r="E28" t="str">
            <v>NEW A/R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CHILDRENS MEDICAL SERVICE</v>
          </cell>
          <cell r="E29" t="str">
            <v>NEW A/R</v>
          </cell>
          <cell r="F29">
            <v>12330.71</v>
          </cell>
          <cell r="G29">
            <v>1407.59</v>
          </cell>
          <cell r="H29">
            <v>2129.33</v>
          </cell>
          <cell r="I29">
            <v>1180.57</v>
          </cell>
          <cell r="J29">
            <v>2286.66</v>
          </cell>
          <cell r="K29">
            <v>921.77</v>
          </cell>
          <cell r="L29">
            <v>1360.16</v>
          </cell>
          <cell r="M29">
            <v>21616.79</v>
          </cell>
          <cell r="N29">
            <v>5749.16</v>
          </cell>
        </row>
        <row r="30">
          <cell r="D30" t="str">
            <v>CHILDRENS MEDICAL SVC APPEAL</v>
          </cell>
          <cell r="E30" t="str">
            <v>NEW A/R</v>
          </cell>
          <cell r="F30">
            <v>879</v>
          </cell>
          <cell r="G30">
            <v>936</v>
          </cell>
          <cell r="H30">
            <v>3208.67</v>
          </cell>
          <cell r="I30">
            <v>1127.8</v>
          </cell>
          <cell r="J30">
            <v>1076.57</v>
          </cell>
          <cell r="K30">
            <v>1081.72</v>
          </cell>
          <cell r="L30">
            <v>2143.17</v>
          </cell>
          <cell r="M30">
            <v>10452.93</v>
          </cell>
          <cell r="N30">
            <v>5429.26</v>
          </cell>
        </row>
        <row r="31">
          <cell r="D31" t="str">
            <v>CIGNA HEALTH PLAN</v>
          </cell>
          <cell r="E31" t="str">
            <v>NEW A/R</v>
          </cell>
          <cell r="F31">
            <v>136249.20000000001</v>
          </cell>
          <cell r="G31">
            <v>21299.1</v>
          </cell>
          <cell r="H31">
            <v>16377.21</v>
          </cell>
          <cell r="I31">
            <v>3144.23</v>
          </cell>
          <cell r="J31">
            <v>768.25</v>
          </cell>
          <cell r="K31">
            <v>5909.46</v>
          </cell>
          <cell r="L31">
            <v>-5294.15</v>
          </cell>
          <cell r="M31">
            <v>178453.30000000002</v>
          </cell>
          <cell r="N31">
            <v>4527.7900000000009</v>
          </cell>
        </row>
        <row r="32">
          <cell r="D32" t="str">
            <v>CIGNA HEALTH PLAN APPEAL</v>
          </cell>
          <cell r="E32" t="str">
            <v>NEW A/R</v>
          </cell>
          <cell r="F32">
            <v>4058</v>
          </cell>
          <cell r="G32">
            <v>10278.540000000001</v>
          </cell>
          <cell r="H32">
            <v>14612.49</v>
          </cell>
          <cell r="I32">
            <v>14416.34</v>
          </cell>
          <cell r="J32">
            <v>3122</v>
          </cell>
          <cell r="K32">
            <v>1942.36</v>
          </cell>
          <cell r="L32">
            <v>1775.12</v>
          </cell>
          <cell r="M32">
            <v>50204.85</v>
          </cell>
          <cell r="N32">
            <v>21255.82</v>
          </cell>
        </row>
        <row r="33">
          <cell r="D33" t="str">
            <v>CIMARRON HEALTH PLAN</v>
          </cell>
          <cell r="E33" t="str">
            <v>NEW A/R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-40.42</v>
          </cell>
          <cell r="M33">
            <v>-40.42</v>
          </cell>
          <cell r="N33">
            <v>-40.42</v>
          </cell>
        </row>
        <row r="34">
          <cell r="D34" t="str">
            <v>COLLECTION, EQUIFAX</v>
          </cell>
          <cell r="E34" t="str">
            <v>NEW A/R</v>
          </cell>
          <cell r="F34">
            <v>0</v>
          </cell>
          <cell r="G34">
            <v>0</v>
          </cell>
          <cell r="H34">
            <v>-10</v>
          </cell>
          <cell r="I34">
            <v>0</v>
          </cell>
          <cell r="J34">
            <v>0</v>
          </cell>
          <cell r="K34">
            <v>0</v>
          </cell>
          <cell r="L34">
            <v>-855.86</v>
          </cell>
          <cell r="M34">
            <v>-865.86</v>
          </cell>
          <cell r="N34">
            <v>-855.86</v>
          </cell>
        </row>
        <row r="35">
          <cell r="D35" t="str">
            <v>COMMISSION FOR THE BLIND</v>
          </cell>
          <cell r="E35" t="str">
            <v>NEW A/R</v>
          </cell>
          <cell r="F35">
            <v>13065</v>
          </cell>
          <cell r="G35">
            <v>216</v>
          </cell>
          <cell r="H35">
            <v>4529</v>
          </cell>
          <cell r="I35">
            <v>2527</v>
          </cell>
          <cell r="J35">
            <v>1105</v>
          </cell>
          <cell r="K35">
            <v>0</v>
          </cell>
          <cell r="L35">
            <v>5705</v>
          </cell>
          <cell r="M35">
            <v>27147</v>
          </cell>
          <cell r="N35">
            <v>9337</v>
          </cell>
        </row>
        <row r="36">
          <cell r="D36" t="str">
            <v>CREDIT LETTER SENT</v>
          </cell>
          <cell r="E36" t="str">
            <v>NEW A/R</v>
          </cell>
          <cell r="F36">
            <v>33268.400000000001</v>
          </cell>
          <cell r="G36">
            <v>71738.23</v>
          </cell>
          <cell r="H36">
            <v>396943.84</v>
          </cell>
          <cell r="I36">
            <v>346417.12</v>
          </cell>
          <cell r="J36">
            <v>108819.08</v>
          </cell>
          <cell r="K36">
            <v>33468.14</v>
          </cell>
          <cell r="L36">
            <v>45139.87</v>
          </cell>
          <cell r="M36">
            <v>1035794.68</v>
          </cell>
          <cell r="N36">
            <v>533844.21000000008</v>
          </cell>
        </row>
        <row r="37">
          <cell r="D37" t="str">
            <v>CRIME VICTIMS</v>
          </cell>
          <cell r="E37" t="str">
            <v>NEW A/R</v>
          </cell>
          <cell r="F37">
            <v>0</v>
          </cell>
          <cell r="G37">
            <v>20</v>
          </cell>
          <cell r="H37">
            <v>229</v>
          </cell>
          <cell r="I37">
            <v>25</v>
          </cell>
          <cell r="J37">
            <v>50</v>
          </cell>
          <cell r="K37">
            <v>274</v>
          </cell>
          <cell r="L37">
            <v>26057.58</v>
          </cell>
          <cell r="M37">
            <v>26655.58</v>
          </cell>
          <cell r="N37">
            <v>26406.58</v>
          </cell>
        </row>
        <row r="38">
          <cell r="D38" t="str">
            <v>DELETE FROM QUEUE-TEMPORARY FSC</v>
          </cell>
          <cell r="E38" t="str">
            <v>NEW A/R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1658</v>
          </cell>
          <cell r="M38">
            <v>1658</v>
          </cell>
          <cell r="N38">
            <v>1658</v>
          </cell>
        </row>
        <row r="39">
          <cell r="D39" t="str">
            <v>DO NOT BILL</v>
          </cell>
          <cell r="E39" t="str">
            <v>NEW A/R</v>
          </cell>
          <cell r="F39">
            <v>-7938.69</v>
          </cell>
          <cell r="G39">
            <v>5904.64</v>
          </cell>
          <cell r="H39">
            <v>-2016.76</v>
          </cell>
          <cell r="I39">
            <v>-1464.53</v>
          </cell>
          <cell r="J39">
            <v>-839.13</v>
          </cell>
          <cell r="K39">
            <v>-4550.17</v>
          </cell>
          <cell r="L39">
            <v>2322.56</v>
          </cell>
          <cell r="M39">
            <v>-8582.08</v>
          </cell>
          <cell r="N39">
            <v>-4531.2700000000004</v>
          </cell>
        </row>
        <row r="40">
          <cell r="D40" t="str">
            <v>ELIGIBILITY</v>
          </cell>
          <cell r="E40" t="str">
            <v>NEW A/R</v>
          </cell>
          <cell r="F40">
            <v>128032</v>
          </cell>
          <cell r="G40">
            <v>91877.61</v>
          </cell>
          <cell r="H40">
            <v>19869.68</v>
          </cell>
          <cell r="I40">
            <v>25302.85</v>
          </cell>
          <cell r="J40">
            <v>4752.84</v>
          </cell>
          <cell r="K40">
            <v>789.41</v>
          </cell>
          <cell r="L40">
            <v>10446.48</v>
          </cell>
          <cell r="M40">
            <v>281070.86999999994</v>
          </cell>
          <cell r="N40">
            <v>41291.58</v>
          </cell>
        </row>
        <row r="41">
          <cell r="D41" t="str">
            <v>EVERCARE MEDICAID</v>
          </cell>
          <cell r="E41" t="str">
            <v>NEW A/R</v>
          </cell>
          <cell r="F41">
            <v>85861.23</v>
          </cell>
          <cell r="G41">
            <v>21967.3</v>
          </cell>
          <cell r="H41">
            <v>3107.09</v>
          </cell>
          <cell r="I41">
            <v>-495.26</v>
          </cell>
          <cell r="J41">
            <v>275.43</v>
          </cell>
          <cell r="K41">
            <v>848.66</v>
          </cell>
          <cell r="L41">
            <v>-5361.24</v>
          </cell>
          <cell r="M41">
            <v>106203.20999999999</v>
          </cell>
          <cell r="N41">
            <v>-4732.41</v>
          </cell>
        </row>
        <row r="42">
          <cell r="D42" t="str">
            <v>EVERCARE MEDICAID APPEAL</v>
          </cell>
          <cell r="E42" t="str">
            <v>NEW A/R</v>
          </cell>
          <cell r="F42">
            <v>2197</v>
          </cell>
          <cell r="G42">
            <v>3322.5</v>
          </cell>
          <cell r="H42">
            <v>5155.25</v>
          </cell>
          <cell r="I42">
            <v>5187.6099999999997</v>
          </cell>
          <cell r="J42">
            <v>6493.39</v>
          </cell>
          <cell r="K42">
            <v>2030.82</v>
          </cell>
          <cell r="L42">
            <v>20151.72</v>
          </cell>
          <cell r="M42">
            <v>44538.29</v>
          </cell>
          <cell r="N42">
            <v>33863.54</v>
          </cell>
        </row>
        <row r="43">
          <cell r="D43" t="str">
            <v>EXTENDED BUSINESS OFFICE</v>
          </cell>
          <cell r="E43" t="str">
            <v>NEW A/R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-1576.91</v>
          </cell>
          <cell r="M43">
            <v>-1576.91</v>
          </cell>
          <cell r="N43">
            <v>-1576.91</v>
          </cell>
        </row>
        <row r="44">
          <cell r="D44" t="str">
            <v>FINANCIAL ASSISTANCE PROGRAM</v>
          </cell>
          <cell r="E44" t="str">
            <v>NEW A/R</v>
          </cell>
          <cell r="F44">
            <v>119834.78</v>
          </cell>
          <cell r="G44">
            <v>84275.93</v>
          </cell>
          <cell r="H44">
            <v>58055.65</v>
          </cell>
          <cell r="I44">
            <v>11561.83</v>
          </cell>
          <cell r="J44">
            <v>72.25</v>
          </cell>
          <cell r="K44">
            <v>0</v>
          </cell>
          <cell r="L44">
            <v>-176.15</v>
          </cell>
          <cell r="M44">
            <v>273624.28999999998</v>
          </cell>
          <cell r="N44">
            <v>11457.93</v>
          </cell>
        </row>
        <row r="45">
          <cell r="D45" t="str">
            <v>FREE SERVICE BERNALILLO COUNTY</v>
          </cell>
          <cell r="E45" t="str">
            <v>NEW A/R</v>
          </cell>
          <cell r="F45">
            <v>283</v>
          </cell>
          <cell r="G45">
            <v>0</v>
          </cell>
          <cell r="H45">
            <v>1764</v>
          </cell>
          <cell r="I45">
            <v>1485</v>
          </cell>
          <cell r="J45">
            <v>0</v>
          </cell>
          <cell r="K45">
            <v>0</v>
          </cell>
          <cell r="L45">
            <v>-35.92</v>
          </cell>
          <cell r="M45">
            <v>3496.08</v>
          </cell>
          <cell r="N45">
            <v>1449.08</v>
          </cell>
        </row>
        <row r="46">
          <cell r="D46" t="str">
            <v>FREE SERVICE, OUT OF COUNTY INDIGENT</v>
          </cell>
          <cell r="E46" t="str">
            <v>NEW A/R</v>
          </cell>
          <cell r="F46">
            <v>31151.85</v>
          </cell>
          <cell r="G46">
            <v>6950.51</v>
          </cell>
          <cell r="H46">
            <v>9837</v>
          </cell>
          <cell r="I46">
            <v>0</v>
          </cell>
          <cell r="J46">
            <v>441</v>
          </cell>
          <cell r="K46">
            <v>170</v>
          </cell>
          <cell r="L46">
            <v>1699.35</v>
          </cell>
          <cell r="M46">
            <v>50249.71</v>
          </cell>
          <cell r="N46">
            <v>2310.35</v>
          </cell>
        </row>
        <row r="47">
          <cell r="D47" t="str">
            <v>GEHA APPEAL</v>
          </cell>
          <cell r="E47" t="str">
            <v>NEW A/R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 t="str">
            <v>GEHA/ COMM'L INS</v>
          </cell>
          <cell r="E48" t="str">
            <v>NEW A/R</v>
          </cell>
          <cell r="F48">
            <v>6331.11</v>
          </cell>
          <cell r="G48">
            <v>821</v>
          </cell>
          <cell r="H48">
            <v>485.86</v>
          </cell>
          <cell r="I48">
            <v>10.71</v>
          </cell>
          <cell r="J48">
            <v>-41.25</v>
          </cell>
          <cell r="K48">
            <v>-96.8</v>
          </cell>
          <cell r="L48">
            <v>-198.87</v>
          </cell>
          <cell r="M48">
            <v>7311.7599999999993</v>
          </cell>
          <cell r="N48">
            <v>-326.21000000000004</v>
          </cell>
        </row>
        <row r="49">
          <cell r="D49" t="str">
            <v>GREAT WEST</v>
          </cell>
          <cell r="E49" t="str">
            <v>NEW A/R</v>
          </cell>
          <cell r="F49">
            <v>2603</v>
          </cell>
          <cell r="G49">
            <v>11135</v>
          </cell>
          <cell r="H49">
            <v>24727.65</v>
          </cell>
          <cell r="I49">
            <v>2308</v>
          </cell>
          <cell r="J49">
            <v>0</v>
          </cell>
          <cell r="K49">
            <v>0</v>
          </cell>
          <cell r="L49">
            <v>0</v>
          </cell>
          <cell r="M49">
            <v>40773.65</v>
          </cell>
          <cell r="N49">
            <v>2308</v>
          </cell>
        </row>
        <row r="50">
          <cell r="D50" t="str">
            <v>GREAT WEST APPEAL</v>
          </cell>
          <cell r="E50" t="str">
            <v>NEW A/R</v>
          </cell>
          <cell r="F50">
            <v>0</v>
          </cell>
          <cell r="G50">
            <v>1544.2</v>
          </cell>
          <cell r="H50">
            <v>0</v>
          </cell>
          <cell r="I50">
            <v>96</v>
          </cell>
          <cell r="J50">
            <v>0</v>
          </cell>
          <cell r="K50">
            <v>0</v>
          </cell>
          <cell r="L50">
            <v>0</v>
          </cell>
          <cell r="M50">
            <v>1640.2</v>
          </cell>
          <cell r="N50">
            <v>96</v>
          </cell>
        </row>
        <row r="51">
          <cell r="D51" t="str">
            <v>HCH ADMINISTRATORS APPEAL</v>
          </cell>
          <cell r="E51" t="str">
            <v>NEW A/R</v>
          </cell>
          <cell r="F51">
            <v>45</v>
          </cell>
          <cell r="G51">
            <v>3493</v>
          </cell>
          <cell r="H51">
            <v>0</v>
          </cell>
          <cell r="I51">
            <v>179</v>
          </cell>
          <cell r="J51">
            <v>0</v>
          </cell>
          <cell r="K51">
            <v>0</v>
          </cell>
          <cell r="L51">
            <v>189</v>
          </cell>
          <cell r="M51">
            <v>3906</v>
          </cell>
          <cell r="N51">
            <v>368</v>
          </cell>
        </row>
        <row r="52">
          <cell r="D52" t="str">
            <v>HCH ADMINISTRATORS/CIMARRON ADVANTAGE</v>
          </cell>
          <cell r="E52" t="str">
            <v>NEW A/R</v>
          </cell>
          <cell r="F52">
            <v>42020.32</v>
          </cell>
          <cell r="G52">
            <v>553.77</v>
          </cell>
          <cell r="H52">
            <v>369.25</v>
          </cell>
          <cell r="I52">
            <v>0</v>
          </cell>
          <cell r="J52">
            <v>0</v>
          </cell>
          <cell r="K52">
            <v>0</v>
          </cell>
          <cell r="L52">
            <v>-506.2</v>
          </cell>
          <cell r="M52">
            <v>42437.14</v>
          </cell>
          <cell r="N52">
            <v>-506.2</v>
          </cell>
        </row>
        <row r="53">
          <cell r="D53" t="str">
            <v>HIGH RISK PRE-NATAL</v>
          </cell>
          <cell r="E53" t="str">
            <v>NEW A/R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-150</v>
          </cell>
          <cell r="M53">
            <v>-150</v>
          </cell>
          <cell r="N53">
            <v>-150</v>
          </cell>
        </row>
        <row r="54">
          <cell r="D54" t="str">
            <v>HMO NM-APPEAL</v>
          </cell>
          <cell r="E54" t="str">
            <v>NEW A/R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151.21</v>
          </cell>
          <cell r="M54">
            <v>151.21</v>
          </cell>
          <cell r="N54">
            <v>151.21</v>
          </cell>
        </row>
        <row r="55">
          <cell r="D55" t="str">
            <v>HMO, NEW MEXICO</v>
          </cell>
          <cell r="E55" t="str">
            <v>NEW A/R</v>
          </cell>
          <cell r="F55">
            <v>1818</v>
          </cell>
          <cell r="G55">
            <v>196</v>
          </cell>
          <cell r="H55">
            <v>-255.97</v>
          </cell>
          <cell r="I55">
            <v>0</v>
          </cell>
          <cell r="J55">
            <v>0</v>
          </cell>
          <cell r="K55">
            <v>97</v>
          </cell>
          <cell r="L55">
            <v>-164.83</v>
          </cell>
          <cell r="M55">
            <v>1690.2</v>
          </cell>
          <cell r="N55">
            <v>-67.830000000000013</v>
          </cell>
        </row>
        <row r="56">
          <cell r="D56" t="str">
            <v>HUMANA CHOICE CARE</v>
          </cell>
          <cell r="E56" t="str">
            <v>NEW A/R</v>
          </cell>
          <cell r="F56">
            <v>7704</v>
          </cell>
          <cell r="G56">
            <v>45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7749</v>
          </cell>
          <cell r="N56">
            <v>0</v>
          </cell>
        </row>
        <row r="57">
          <cell r="D57" t="str">
            <v>IHS/PHS APPEAL FSC</v>
          </cell>
          <cell r="E57" t="str">
            <v>NEW A/R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7591.67</v>
          </cell>
          <cell r="M57">
            <v>7591.67</v>
          </cell>
          <cell r="N57">
            <v>7591.67</v>
          </cell>
        </row>
        <row r="58">
          <cell r="D58" t="str">
            <v>IHS/PHS FILED</v>
          </cell>
          <cell r="E58" t="str">
            <v>NEW A/R</v>
          </cell>
          <cell r="F58">
            <v>1728.67</v>
          </cell>
          <cell r="G58">
            <v>7195.06</v>
          </cell>
          <cell r="H58">
            <v>59827.18</v>
          </cell>
          <cell r="I58">
            <v>182177.96</v>
          </cell>
          <cell r="J58">
            <v>57217.34</v>
          </cell>
          <cell r="K58">
            <v>63721.3</v>
          </cell>
          <cell r="L58">
            <v>153585.73000000001</v>
          </cell>
          <cell r="M58">
            <v>525453.24</v>
          </cell>
          <cell r="N58">
            <v>456702.32999999996</v>
          </cell>
        </row>
        <row r="59">
          <cell r="D59" t="str">
            <v>IHS/PHS NO PO</v>
          </cell>
          <cell r="E59" t="str">
            <v>NEW A/R</v>
          </cell>
          <cell r="F59">
            <v>351636.55</v>
          </cell>
          <cell r="G59">
            <v>291881.88</v>
          </cell>
          <cell r="H59">
            <v>151849.35999999999</v>
          </cell>
          <cell r="I59">
            <v>41447.82</v>
          </cell>
          <cell r="J59">
            <v>17539.7</v>
          </cell>
          <cell r="K59">
            <v>2416.54</v>
          </cell>
          <cell r="L59">
            <v>5552.89</v>
          </cell>
          <cell r="M59">
            <v>862324.73999999987</v>
          </cell>
          <cell r="N59">
            <v>66956.950000000012</v>
          </cell>
        </row>
        <row r="60">
          <cell r="D60" t="str">
            <v>INSURANCE APPEAL FSC</v>
          </cell>
          <cell r="E60" t="str">
            <v>NEW A/R</v>
          </cell>
          <cell r="F60">
            <v>7436.48</v>
          </cell>
          <cell r="G60">
            <v>11965.19</v>
          </cell>
          <cell r="H60">
            <v>29046.880000000001</v>
          </cell>
          <cell r="I60">
            <v>30775.75</v>
          </cell>
          <cell r="J60">
            <v>13468.72</v>
          </cell>
          <cell r="K60">
            <v>44664.15</v>
          </cell>
          <cell r="L60">
            <v>45604.54</v>
          </cell>
          <cell r="M60">
            <v>182961.71000000002</v>
          </cell>
          <cell r="N60">
            <v>134513.16</v>
          </cell>
        </row>
        <row r="61">
          <cell r="D61" t="str">
            <v>JUVENILE JUSTICE SYSTEM</v>
          </cell>
          <cell r="E61" t="str">
            <v>NEW A/R</v>
          </cell>
          <cell r="F61">
            <v>2449</v>
          </cell>
          <cell r="G61">
            <v>12580.8</v>
          </cell>
          <cell r="H61">
            <v>3167.52</v>
          </cell>
          <cell r="I61">
            <v>1675</v>
          </cell>
          <cell r="J61">
            <v>20</v>
          </cell>
          <cell r="K61">
            <v>-376</v>
          </cell>
          <cell r="L61">
            <v>-497</v>
          </cell>
          <cell r="M61">
            <v>19019.32</v>
          </cell>
          <cell r="N61">
            <v>822</v>
          </cell>
        </row>
        <row r="62">
          <cell r="D62" t="str">
            <v>KIDNEY ACQUISITION</v>
          </cell>
          <cell r="E62" t="str">
            <v>NEW A/R</v>
          </cell>
          <cell r="F62">
            <v>22490</v>
          </cell>
          <cell r="G62">
            <v>19634</v>
          </cell>
          <cell r="H62">
            <v>1802</v>
          </cell>
          <cell r="I62">
            <v>488</v>
          </cell>
          <cell r="J62">
            <v>0</v>
          </cell>
          <cell r="K62">
            <v>3648</v>
          </cell>
          <cell r="L62">
            <v>5374</v>
          </cell>
          <cell r="M62">
            <v>53436</v>
          </cell>
          <cell r="N62">
            <v>9510</v>
          </cell>
        </row>
        <row r="63">
          <cell r="D63" t="str">
            <v>LEGAL</v>
          </cell>
          <cell r="E63" t="str">
            <v>NEW A/R</v>
          </cell>
          <cell r="F63">
            <v>0</v>
          </cell>
          <cell r="G63">
            <v>283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1122.8900000000001</v>
          </cell>
          <cell r="M63">
            <v>1405.89</v>
          </cell>
          <cell r="N63">
            <v>1122.8900000000001</v>
          </cell>
        </row>
        <row r="64">
          <cell r="D64" t="str">
            <v>LOVELACE H/P-APPEAL</v>
          </cell>
          <cell r="E64" t="str">
            <v>NEW A/R</v>
          </cell>
          <cell r="F64">
            <v>5722</v>
          </cell>
          <cell r="G64">
            <v>12721</v>
          </cell>
          <cell r="H64">
            <v>6813</v>
          </cell>
          <cell r="I64">
            <v>5381.68</v>
          </cell>
          <cell r="J64">
            <v>1424.13</v>
          </cell>
          <cell r="K64">
            <v>730.71</v>
          </cell>
          <cell r="L64">
            <v>11104.34</v>
          </cell>
          <cell r="M64">
            <v>43896.86</v>
          </cell>
          <cell r="N64">
            <v>18640.86</v>
          </cell>
        </row>
        <row r="65">
          <cell r="D65" t="str">
            <v>LOVELACE HEALTH PLAN HMO/PPO</v>
          </cell>
          <cell r="E65" t="str">
            <v>NEW A/R</v>
          </cell>
          <cell r="F65">
            <v>388370.48</v>
          </cell>
          <cell r="G65">
            <v>13486.59</v>
          </cell>
          <cell r="H65">
            <v>7538.18</v>
          </cell>
          <cell r="I65">
            <v>6055.16</v>
          </cell>
          <cell r="J65">
            <v>1753.92</v>
          </cell>
          <cell r="K65">
            <v>145.72</v>
          </cell>
          <cell r="L65">
            <v>514.84</v>
          </cell>
          <cell r="M65">
            <v>417864.88999999996</v>
          </cell>
          <cell r="N65">
            <v>8469.64</v>
          </cell>
        </row>
        <row r="66">
          <cell r="D66" t="str">
            <v>LOVELACE INS APPEAL-UNM EMP</v>
          </cell>
          <cell r="E66" t="str">
            <v>NEW A/R</v>
          </cell>
          <cell r="F66">
            <v>22</v>
          </cell>
          <cell r="G66">
            <v>610</v>
          </cell>
          <cell r="H66">
            <v>662</v>
          </cell>
          <cell r="I66">
            <v>423</v>
          </cell>
          <cell r="J66">
            <v>-140</v>
          </cell>
          <cell r="K66">
            <v>416</v>
          </cell>
          <cell r="L66">
            <v>3409.6</v>
          </cell>
          <cell r="M66">
            <v>5402.6</v>
          </cell>
          <cell r="N66">
            <v>4108.6000000000004</v>
          </cell>
        </row>
        <row r="67">
          <cell r="D67" t="str">
            <v>LOVELACE INSURANCE-UNM EMP</v>
          </cell>
          <cell r="E67" t="str">
            <v>NEW A/R</v>
          </cell>
          <cell r="F67">
            <v>321913</v>
          </cell>
          <cell r="G67">
            <v>22362.959999999999</v>
          </cell>
          <cell r="H67">
            <v>5403.19</v>
          </cell>
          <cell r="I67">
            <v>573.53</v>
          </cell>
          <cell r="J67">
            <v>3045</v>
          </cell>
          <cell r="K67">
            <v>1998.48</v>
          </cell>
          <cell r="L67">
            <v>10671.23</v>
          </cell>
          <cell r="M67">
            <v>365967.39</v>
          </cell>
          <cell r="N67">
            <v>16288.24</v>
          </cell>
        </row>
        <row r="68">
          <cell r="D68" t="str">
            <v>LOVELACE RECOUPS</v>
          </cell>
          <cell r="E68" t="str">
            <v>NEW A/R</v>
          </cell>
          <cell r="F68">
            <v>1778.61</v>
          </cell>
          <cell r="G68">
            <v>0</v>
          </cell>
          <cell r="H68">
            <v>0</v>
          </cell>
          <cell r="I68">
            <v>84</v>
          </cell>
          <cell r="J68">
            <v>0</v>
          </cell>
          <cell r="K68">
            <v>0</v>
          </cell>
          <cell r="L68">
            <v>5132.25</v>
          </cell>
          <cell r="M68">
            <v>6994.86</v>
          </cell>
          <cell r="N68">
            <v>5216.25</v>
          </cell>
        </row>
        <row r="69">
          <cell r="D69" t="str">
            <v>LOVELACE SALUD APPEAL</v>
          </cell>
          <cell r="E69" t="str">
            <v>NEW A/R</v>
          </cell>
          <cell r="F69">
            <v>5588</v>
          </cell>
          <cell r="G69">
            <v>10934</v>
          </cell>
          <cell r="H69">
            <v>11201</v>
          </cell>
          <cell r="I69">
            <v>8828</v>
          </cell>
          <cell r="J69">
            <v>1556</v>
          </cell>
          <cell r="K69">
            <v>4032</v>
          </cell>
          <cell r="L69">
            <v>12999.16</v>
          </cell>
          <cell r="M69">
            <v>55138.16</v>
          </cell>
          <cell r="N69">
            <v>27415.16</v>
          </cell>
        </row>
        <row r="70">
          <cell r="D70" t="str">
            <v>LOVELACE SCI</v>
          </cell>
          <cell r="E70" t="str">
            <v>NEW A/R</v>
          </cell>
          <cell r="F70">
            <v>101195</v>
          </cell>
          <cell r="G70">
            <v>1837</v>
          </cell>
          <cell r="H70">
            <v>0</v>
          </cell>
          <cell r="I70">
            <v>1326.99</v>
          </cell>
          <cell r="J70">
            <v>0</v>
          </cell>
          <cell r="K70">
            <v>23</v>
          </cell>
          <cell r="L70">
            <v>3750.3</v>
          </cell>
          <cell r="M70">
            <v>108132.29000000001</v>
          </cell>
          <cell r="N70">
            <v>5100.29</v>
          </cell>
        </row>
        <row r="71">
          <cell r="D71" t="str">
            <v>LOVELACE SCI APPEAL</v>
          </cell>
          <cell r="E71" t="str">
            <v>NEW A/R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 t="str">
            <v>LOVELACE SENIOR H/P APPEAL</v>
          </cell>
          <cell r="E72" t="str">
            <v>NEW A/R</v>
          </cell>
          <cell r="F72">
            <v>10064</v>
          </cell>
          <cell r="G72">
            <v>3096</v>
          </cell>
          <cell r="H72">
            <v>9338.6</v>
          </cell>
          <cell r="I72">
            <v>951</v>
          </cell>
          <cell r="J72">
            <v>515</v>
          </cell>
          <cell r="K72">
            <v>1759</v>
          </cell>
          <cell r="L72">
            <v>12122.03</v>
          </cell>
          <cell r="M72">
            <v>37845.629999999997</v>
          </cell>
          <cell r="N72">
            <v>15347.03</v>
          </cell>
        </row>
        <row r="73">
          <cell r="D73" t="str">
            <v>LOVELACE SENIOR HEALTH PLAN</v>
          </cell>
          <cell r="E73" t="str">
            <v>NEW A/R</v>
          </cell>
          <cell r="F73">
            <v>234100.33</v>
          </cell>
          <cell r="G73">
            <v>1777.55</v>
          </cell>
          <cell r="H73">
            <v>274</v>
          </cell>
          <cell r="I73">
            <v>936</v>
          </cell>
          <cell r="J73">
            <v>555.14</v>
          </cell>
          <cell r="K73">
            <v>281</v>
          </cell>
          <cell r="L73">
            <v>3474.55</v>
          </cell>
          <cell r="M73">
            <v>241398.56999999998</v>
          </cell>
          <cell r="N73">
            <v>5246.6900000000005</v>
          </cell>
        </row>
        <row r="74">
          <cell r="D74" t="str">
            <v>M &amp; I INDIGENT</v>
          </cell>
          <cell r="E74" t="str">
            <v>NEW A/R</v>
          </cell>
          <cell r="F74">
            <v>0</v>
          </cell>
          <cell r="G74">
            <v>0</v>
          </cell>
          <cell r="H74">
            <v>87.5</v>
          </cell>
          <cell r="I74">
            <v>603</v>
          </cell>
          <cell r="J74">
            <v>110</v>
          </cell>
          <cell r="K74">
            <v>0</v>
          </cell>
          <cell r="L74">
            <v>0</v>
          </cell>
          <cell r="M74">
            <v>800.5</v>
          </cell>
          <cell r="N74">
            <v>713</v>
          </cell>
        </row>
        <row r="75">
          <cell r="D75" t="str">
            <v>MEDICAID</v>
          </cell>
          <cell r="E75" t="str">
            <v>NEW A/R</v>
          </cell>
          <cell r="F75">
            <v>549127.19999999995</v>
          </cell>
          <cell r="G75">
            <v>65196.28</v>
          </cell>
          <cell r="H75">
            <v>27438.62</v>
          </cell>
          <cell r="I75">
            <v>12151.26</v>
          </cell>
          <cell r="J75">
            <v>3436.71</v>
          </cell>
          <cell r="K75">
            <v>-1042.02</v>
          </cell>
          <cell r="L75">
            <v>-25686.35</v>
          </cell>
          <cell r="M75">
            <v>630621.69999999995</v>
          </cell>
          <cell r="N75">
            <v>-11140.399999999998</v>
          </cell>
        </row>
        <row r="76">
          <cell r="D76" t="str">
            <v>MEDICAID AFTER INSURANCE</v>
          </cell>
          <cell r="E76" t="str">
            <v>NEW A/R</v>
          </cell>
          <cell r="F76">
            <v>430.75</v>
          </cell>
          <cell r="G76">
            <v>4635.1099999999997</v>
          </cell>
          <cell r="H76">
            <v>294.58</v>
          </cell>
          <cell r="I76">
            <v>103.8</v>
          </cell>
          <cell r="J76">
            <v>155.91</v>
          </cell>
          <cell r="K76">
            <v>3.6</v>
          </cell>
          <cell r="L76">
            <v>2113.2399999999998</v>
          </cell>
          <cell r="M76">
            <v>7736.99</v>
          </cell>
          <cell r="N76">
            <v>2376.5499999999997</v>
          </cell>
        </row>
        <row r="77">
          <cell r="D77" t="str">
            <v>MEDICAID AFTER INSURANCE APPEAL</v>
          </cell>
          <cell r="E77" t="str">
            <v>NEW A/R</v>
          </cell>
          <cell r="F77">
            <v>0</v>
          </cell>
          <cell r="G77">
            <v>589</v>
          </cell>
          <cell r="H77">
            <v>332.52</v>
          </cell>
          <cell r="I77">
            <v>129.4</v>
          </cell>
          <cell r="J77">
            <v>47</v>
          </cell>
          <cell r="K77">
            <v>536.74</v>
          </cell>
          <cell r="L77">
            <v>1067.92</v>
          </cell>
          <cell r="M77">
            <v>2702.58</v>
          </cell>
          <cell r="N77">
            <v>1781.06</v>
          </cell>
        </row>
        <row r="78">
          <cell r="D78" t="str">
            <v>MEDICAID AFTER MEDICARE</v>
          </cell>
          <cell r="E78" t="str">
            <v>NEW A/R</v>
          </cell>
          <cell r="F78">
            <v>15475.52</v>
          </cell>
          <cell r="G78">
            <v>13522.31</v>
          </cell>
          <cell r="H78">
            <v>8515.39</v>
          </cell>
          <cell r="I78">
            <v>7128.24</v>
          </cell>
          <cell r="J78">
            <v>74.25</v>
          </cell>
          <cell r="K78">
            <v>1466.28</v>
          </cell>
          <cell r="L78">
            <v>1628.29</v>
          </cell>
          <cell r="M78">
            <v>47810.28</v>
          </cell>
          <cell r="N78">
            <v>10297.060000000001</v>
          </cell>
        </row>
        <row r="79">
          <cell r="D79" t="str">
            <v>MEDICAID AFTER MEDICARE APPEAL</v>
          </cell>
          <cell r="E79" t="str">
            <v>NEW A/R</v>
          </cell>
          <cell r="F79">
            <v>0</v>
          </cell>
          <cell r="G79">
            <v>94.75</v>
          </cell>
          <cell r="H79">
            <v>4841.43</v>
          </cell>
          <cell r="I79">
            <v>310.25</v>
          </cell>
          <cell r="J79">
            <v>166.46</v>
          </cell>
          <cell r="K79">
            <v>717.17</v>
          </cell>
          <cell r="L79">
            <v>4402.13</v>
          </cell>
          <cell r="M79">
            <v>10532.19</v>
          </cell>
          <cell r="N79">
            <v>5596.01</v>
          </cell>
        </row>
        <row r="80">
          <cell r="D80" t="str">
            <v>MEDICAID APPEAL FSC</v>
          </cell>
          <cell r="E80" t="str">
            <v>NEW A/R</v>
          </cell>
          <cell r="F80">
            <v>22246.799999999999</v>
          </cell>
          <cell r="G80">
            <v>34907.82</v>
          </cell>
          <cell r="H80">
            <v>25358</v>
          </cell>
          <cell r="I80">
            <v>19540.240000000002</v>
          </cell>
          <cell r="J80">
            <v>13481</v>
          </cell>
          <cell r="K80">
            <v>20341.419999999998</v>
          </cell>
          <cell r="L80">
            <v>31588.76</v>
          </cell>
          <cell r="M80">
            <v>167464.04</v>
          </cell>
          <cell r="N80">
            <v>84951.42</v>
          </cell>
        </row>
        <row r="81">
          <cell r="D81" t="str">
            <v>MEDICAID EMSA</v>
          </cell>
          <cell r="E81" t="str">
            <v>NEW A/R</v>
          </cell>
          <cell r="F81">
            <v>178293.8</v>
          </cell>
          <cell r="G81">
            <v>203905.75</v>
          </cell>
          <cell r="H81">
            <v>188235.05</v>
          </cell>
          <cell r="I81">
            <v>124561.65</v>
          </cell>
          <cell r="J81">
            <v>78112.75</v>
          </cell>
          <cell r="K81">
            <v>37393.82</v>
          </cell>
          <cell r="L81">
            <v>42156.65</v>
          </cell>
          <cell r="M81">
            <v>852659.47</v>
          </cell>
          <cell r="N81">
            <v>282224.87</v>
          </cell>
        </row>
        <row r="82">
          <cell r="D82" t="str">
            <v>MEDICAID EMSA APPEAL</v>
          </cell>
          <cell r="E82" t="str">
            <v>NEW A/R</v>
          </cell>
          <cell r="F82">
            <v>1275</v>
          </cell>
          <cell r="G82">
            <v>0</v>
          </cell>
          <cell r="H82">
            <v>4487</v>
          </cell>
          <cell r="I82">
            <v>2317</v>
          </cell>
          <cell r="J82">
            <v>2309</v>
          </cell>
          <cell r="K82">
            <v>4336</v>
          </cell>
          <cell r="L82">
            <v>9369.57</v>
          </cell>
          <cell r="M82">
            <v>24093.57</v>
          </cell>
          <cell r="N82">
            <v>18331.57</v>
          </cell>
        </row>
        <row r="83">
          <cell r="D83" t="str">
            <v>MEDICAID OUT/STATE APPEAL</v>
          </cell>
          <cell r="E83" t="str">
            <v>NEW A/R</v>
          </cell>
          <cell r="F83">
            <v>0</v>
          </cell>
          <cell r="G83">
            <v>295.19</v>
          </cell>
          <cell r="H83">
            <v>13766.72</v>
          </cell>
          <cell r="I83">
            <v>13550.67</v>
          </cell>
          <cell r="J83">
            <v>19905.71</v>
          </cell>
          <cell r="K83">
            <v>23853.48</v>
          </cell>
          <cell r="L83">
            <v>73405.11</v>
          </cell>
          <cell r="M83">
            <v>144776.88</v>
          </cell>
          <cell r="N83">
            <v>130714.97</v>
          </cell>
        </row>
        <row r="84">
          <cell r="D84" t="str">
            <v>MEDICAID PENDING/WO</v>
          </cell>
          <cell r="E84" t="str">
            <v>NEW A/R</v>
          </cell>
          <cell r="F84">
            <v>0</v>
          </cell>
          <cell r="G84">
            <v>9</v>
          </cell>
          <cell r="H84">
            <v>56.95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65.95</v>
          </cell>
          <cell r="N84">
            <v>0</v>
          </cell>
        </row>
        <row r="85">
          <cell r="D85" t="str">
            <v>MEDICAID RECOUPS</v>
          </cell>
          <cell r="E85" t="str">
            <v>NEW A/R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900.81</v>
          </cell>
          <cell r="M85">
            <v>900.81</v>
          </cell>
          <cell r="N85">
            <v>900.81</v>
          </cell>
        </row>
        <row r="86">
          <cell r="D86" t="str">
            <v>MEDICAID; OUT OF STATE</v>
          </cell>
          <cell r="E86" t="str">
            <v>NEW A/R</v>
          </cell>
          <cell r="F86">
            <v>152694.09</v>
          </cell>
          <cell r="G86">
            <v>90493.51</v>
          </cell>
          <cell r="H86">
            <v>47535.91</v>
          </cell>
          <cell r="I86">
            <v>34472.300000000003</v>
          </cell>
          <cell r="J86">
            <v>37643.199999999997</v>
          </cell>
          <cell r="K86">
            <v>8093.4</v>
          </cell>
          <cell r="L86">
            <v>130424.39</v>
          </cell>
          <cell r="M86">
            <v>501356.80000000005</v>
          </cell>
          <cell r="N86">
            <v>210633.28999999998</v>
          </cell>
        </row>
        <row r="87">
          <cell r="D87" t="str">
            <v>MEDICARE</v>
          </cell>
          <cell r="E87" t="str">
            <v>NEW A/R</v>
          </cell>
          <cell r="F87">
            <v>2412812.91</v>
          </cell>
          <cell r="G87">
            <v>13032.31</v>
          </cell>
          <cell r="H87">
            <v>17630.22</v>
          </cell>
          <cell r="I87">
            <v>10337.370000000001</v>
          </cell>
          <cell r="J87">
            <v>9943.93</v>
          </cell>
          <cell r="K87">
            <v>18023.23</v>
          </cell>
          <cell r="L87">
            <v>-7958.47</v>
          </cell>
          <cell r="M87">
            <v>2473821.5000000005</v>
          </cell>
          <cell r="N87">
            <v>30346.059999999998</v>
          </cell>
        </row>
        <row r="88">
          <cell r="D88" t="str">
            <v>MEDICARE APPEAL FSC</v>
          </cell>
          <cell r="E88" t="str">
            <v>NEW A/R</v>
          </cell>
          <cell r="F88">
            <v>176047.28</v>
          </cell>
          <cell r="G88">
            <v>125734.76</v>
          </cell>
          <cell r="H88">
            <v>45709.74</v>
          </cell>
          <cell r="I88">
            <v>55279.51</v>
          </cell>
          <cell r="J88">
            <v>26639.23</v>
          </cell>
          <cell r="K88">
            <v>11382.61</v>
          </cell>
          <cell r="L88">
            <v>37595.919999999998</v>
          </cell>
          <cell r="M88">
            <v>478389.04999999993</v>
          </cell>
          <cell r="N88">
            <v>130897.27</v>
          </cell>
        </row>
        <row r="89">
          <cell r="D89" t="str">
            <v>MEDICARE AS SECONDARY</v>
          </cell>
          <cell r="E89" t="str">
            <v>NEW A/R</v>
          </cell>
          <cell r="F89">
            <v>1593.63</v>
          </cell>
          <cell r="G89">
            <v>3670.9</v>
          </cell>
          <cell r="H89">
            <v>227.58</v>
          </cell>
          <cell r="I89">
            <v>-456.55</v>
          </cell>
          <cell r="J89">
            <v>332.43</v>
          </cell>
          <cell r="K89">
            <v>755.8</v>
          </cell>
          <cell r="L89">
            <v>-5463.45</v>
          </cell>
          <cell r="M89">
            <v>660.34000000000106</v>
          </cell>
          <cell r="N89">
            <v>-4831.7699999999995</v>
          </cell>
        </row>
        <row r="90">
          <cell r="D90" t="str">
            <v>MEDICARE PENDING/WO</v>
          </cell>
          <cell r="E90" t="str">
            <v>NEW A/R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 t="str">
            <v>MEDICARE PRES APPEAL</v>
          </cell>
          <cell r="E91" t="str">
            <v>NEW A/R</v>
          </cell>
          <cell r="F91">
            <v>1493</v>
          </cell>
          <cell r="G91">
            <v>512</v>
          </cell>
          <cell r="H91">
            <v>170</v>
          </cell>
          <cell r="I91">
            <v>665</v>
          </cell>
          <cell r="J91">
            <v>0</v>
          </cell>
          <cell r="K91">
            <v>7103.5</v>
          </cell>
          <cell r="L91">
            <v>20</v>
          </cell>
          <cell r="M91">
            <v>9963.5</v>
          </cell>
          <cell r="N91">
            <v>7788.5</v>
          </cell>
        </row>
        <row r="92">
          <cell r="D92" t="str">
            <v>MEDICARE PRESBYTERIAN</v>
          </cell>
          <cell r="E92" t="str">
            <v>NEW A/R</v>
          </cell>
          <cell r="F92">
            <v>50887.7</v>
          </cell>
          <cell r="G92">
            <v>1931</v>
          </cell>
          <cell r="H92">
            <v>0</v>
          </cell>
          <cell r="I92">
            <v>288</v>
          </cell>
          <cell r="J92">
            <v>2643</v>
          </cell>
          <cell r="K92">
            <v>85</v>
          </cell>
          <cell r="L92">
            <v>-382.06</v>
          </cell>
          <cell r="M92">
            <v>55452.639999999999</v>
          </cell>
          <cell r="N92">
            <v>2633.94</v>
          </cell>
        </row>
        <row r="93">
          <cell r="D93" t="str">
            <v>MEDICARE RAILROAD</v>
          </cell>
          <cell r="E93" t="str">
            <v>NEW A/R</v>
          </cell>
          <cell r="F93">
            <v>20645.419999999998</v>
          </cell>
          <cell r="G93">
            <v>23623.35</v>
          </cell>
          <cell r="H93">
            <v>21556.93</v>
          </cell>
          <cell r="I93">
            <v>4859.26</v>
          </cell>
          <cell r="J93">
            <v>261.76</v>
          </cell>
          <cell r="K93">
            <v>-45.99</v>
          </cell>
          <cell r="L93">
            <v>-9.43</v>
          </cell>
          <cell r="M93">
            <v>70891.299999999988</v>
          </cell>
          <cell r="N93">
            <v>5065.6000000000004</v>
          </cell>
        </row>
        <row r="94">
          <cell r="D94" t="str">
            <v>MEDICARE RAILROAD APPEAL</v>
          </cell>
          <cell r="E94" t="str">
            <v>NEW A/R</v>
          </cell>
          <cell r="F94">
            <v>0</v>
          </cell>
          <cell r="G94">
            <v>0</v>
          </cell>
          <cell r="H94">
            <v>896</v>
          </cell>
          <cell r="I94">
            <v>0</v>
          </cell>
          <cell r="J94">
            <v>0</v>
          </cell>
          <cell r="K94">
            <v>0</v>
          </cell>
          <cell r="L94">
            <v>-42.5</v>
          </cell>
          <cell r="M94">
            <v>853.5</v>
          </cell>
          <cell r="N94">
            <v>-42.5</v>
          </cell>
        </row>
        <row r="95">
          <cell r="D95" t="str">
            <v>MEDICARE RECOUPS</v>
          </cell>
          <cell r="E95" t="str">
            <v>NEW A/R</v>
          </cell>
          <cell r="F95">
            <v>0</v>
          </cell>
          <cell r="G95">
            <v>0</v>
          </cell>
          <cell r="H95">
            <v>14.14</v>
          </cell>
          <cell r="I95">
            <v>0</v>
          </cell>
          <cell r="J95">
            <v>0</v>
          </cell>
          <cell r="K95">
            <v>0</v>
          </cell>
          <cell r="L95">
            <v>1009.32</v>
          </cell>
          <cell r="M95">
            <v>1023.46</v>
          </cell>
          <cell r="N95">
            <v>1009.32</v>
          </cell>
        </row>
        <row r="96">
          <cell r="D96" t="str">
            <v>MISC MCARE REPLACEMENT APPEAL</v>
          </cell>
          <cell r="E96" t="str">
            <v>NEW A/R</v>
          </cell>
          <cell r="F96">
            <v>9544</v>
          </cell>
          <cell r="G96">
            <v>4947</v>
          </cell>
          <cell r="H96">
            <v>11817.37</v>
          </cell>
          <cell r="I96">
            <v>4584.32</v>
          </cell>
          <cell r="J96">
            <v>5148.78</v>
          </cell>
          <cell r="K96">
            <v>7312.5</v>
          </cell>
          <cell r="L96">
            <v>34703.61</v>
          </cell>
          <cell r="M96">
            <v>78057.58</v>
          </cell>
          <cell r="N96">
            <v>51749.21</v>
          </cell>
        </row>
        <row r="97">
          <cell r="D97" t="str">
            <v>MISC MEDICARE REPLACEMENT</v>
          </cell>
          <cell r="E97" t="str">
            <v>NEW A/R</v>
          </cell>
          <cell r="F97">
            <v>260217.4</v>
          </cell>
          <cell r="G97">
            <v>20692</v>
          </cell>
          <cell r="H97">
            <v>7332</v>
          </cell>
          <cell r="I97">
            <v>13029.58</v>
          </cell>
          <cell r="J97">
            <v>1471.38</v>
          </cell>
          <cell r="K97">
            <v>2784.82</v>
          </cell>
          <cell r="L97">
            <v>7063.7</v>
          </cell>
          <cell r="M97">
            <v>312590.88000000006</v>
          </cell>
          <cell r="N97">
            <v>24349.48</v>
          </cell>
        </row>
        <row r="98">
          <cell r="D98" t="str">
            <v>MISCELLANEOUS COMM RECOUPS</v>
          </cell>
          <cell r="E98" t="str">
            <v>NEW A/R</v>
          </cell>
          <cell r="F98">
            <v>0</v>
          </cell>
          <cell r="G98">
            <v>1974</v>
          </cell>
          <cell r="H98">
            <v>0</v>
          </cell>
          <cell r="I98">
            <v>0</v>
          </cell>
          <cell r="J98">
            <v>110</v>
          </cell>
          <cell r="K98">
            <v>0</v>
          </cell>
          <cell r="L98">
            <v>0</v>
          </cell>
          <cell r="M98">
            <v>2084</v>
          </cell>
          <cell r="N98">
            <v>110</v>
          </cell>
        </row>
        <row r="99">
          <cell r="D99" t="str">
            <v>MOLINA HC OF NM APPEAL</v>
          </cell>
          <cell r="E99" t="str">
            <v>NEW A/R</v>
          </cell>
          <cell r="F99">
            <v>22386</v>
          </cell>
          <cell r="G99">
            <v>19428</v>
          </cell>
          <cell r="H99">
            <v>40843.199999999997</v>
          </cell>
          <cell r="I99">
            <v>7795.18</v>
          </cell>
          <cell r="J99">
            <v>5718</v>
          </cell>
          <cell r="K99">
            <v>7555</v>
          </cell>
          <cell r="L99">
            <v>11364.68</v>
          </cell>
          <cell r="M99">
            <v>115090.06</v>
          </cell>
          <cell r="N99">
            <v>32432.86</v>
          </cell>
        </row>
        <row r="100">
          <cell r="D100" t="str">
            <v>MOLINA HEALTHCARE OF NM</v>
          </cell>
          <cell r="E100" t="str">
            <v>NEW A/R</v>
          </cell>
          <cell r="F100">
            <v>583965.02</v>
          </cell>
          <cell r="G100">
            <v>7107.94</v>
          </cell>
          <cell r="H100">
            <v>2994.54</v>
          </cell>
          <cell r="I100">
            <v>2121.37</v>
          </cell>
          <cell r="J100">
            <v>1537.6</v>
          </cell>
          <cell r="K100">
            <v>7.16</v>
          </cell>
          <cell r="L100">
            <v>-6314.33</v>
          </cell>
          <cell r="M100">
            <v>591419.30000000005</v>
          </cell>
          <cell r="N100">
            <v>-2648.2000000000003</v>
          </cell>
        </row>
        <row r="101">
          <cell r="D101" t="str">
            <v>MOLINA RECOUPS</v>
          </cell>
          <cell r="E101" t="str">
            <v>NEW A/R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8039.19</v>
          </cell>
          <cell r="M101">
            <v>8039.19</v>
          </cell>
          <cell r="N101">
            <v>8039.19</v>
          </cell>
        </row>
        <row r="102">
          <cell r="D102" t="str">
            <v>MOLINA SCI</v>
          </cell>
          <cell r="E102" t="str">
            <v>NEW A/R</v>
          </cell>
          <cell r="F102">
            <v>62650.8</v>
          </cell>
          <cell r="G102">
            <v>994</v>
          </cell>
          <cell r="H102">
            <v>141</v>
          </cell>
          <cell r="I102">
            <v>0</v>
          </cell>
          <cell r="J102">
            <v>0</v>
          </cell>
          <cell r="K102">
            <v>0</v>
          </cell>
          <cell r="L102">
            <v>620.87</v>
          </cell>
          <cell r="M102">
            <v>64406.670000000006</v>
          </cell>
          <cell r="N102">
            <v>620.87</v>
          </cell>
        </row>
        <row r="103">
          <cell r="D103" t="str">
            <v>MOLINA SCI APPEAL</v>
          </cell>
          <cell r="E103" t="str">
            <v>NEW A/R</v>
          </cell>
          <cell r="F103">
            <v>1869</v>
          </cell>
          <cell r="G103">
            <v>361.6</v>
          </cell>
          <cell r="H103">
            <v>1915</v>
          </cell>
          <cell r="I103">
            <v>216</v>
          </cell>
          <cell r="J103">
            <v>238</v>
          </cell>
          <cell r="K103">
            <v>18720</v>
          </cell>
          <cell r="L103">
            <v>0</v>
          </cell>
          <cell r="M103">
            <v>23319.599999999999</v>
          </cell>
          <cell r="N103">
            <v>19174</v>
          </cell>
        </row>
        <row r="104">
          <cell r="D104" t="str">
            <v>MUTUAL OF OMAHA</v>
          </cell>
          <cell r="E104" t="str">
            <v>NEW A/R</v>
          </cell>
          <cell r="F104">
            <v>401.6</v>
          </cell>
          <cell r="G104">
            <v>400.94</v>
          </cell>
          <cell r="H104">
            <v>8.1999999999999993</v>
          </cell>
          <cell r="I104">
            <v>129.84</v>
          </cell>
          <cell r="J104">
            <v>49.95</v>
          </cell>
          <cell r="K104">
            <v>0</v>
          </cell>
          <cell r="L104">
            <v>-347.77</v>
          </cell>
          <cell r="M104">
            <v>642.7600000000001</v>
          </cell>
          <cell r="N104">
            <v>-167.97999999999996</v>
          </cell>
        </row>
        <row r="105">
          <cell r="D105" t="str">
            <v>MUTUAL OF OMAHA APPEAL</v>
          </cell>
          <cell r="E105" t="str">
            <v>NEW A/R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 t="str">
            <v>NCO-PAID IN FULL</v>
          </cell>
          <cell r="E106" t="str">
            <v>NEW A/R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-1095.05</v>
          </cell>
          <cell r="M106">
            <v>-1095.05</v>
          </cell>
          <cell r="N106">
            <v>-1095.05</v>
          </cell>
        </row>
        <row r="107">
          <cell r="D107" t="str">
            <v>NM DONOR PROGRAM</v>
          </cell>
          <cell r="E107" t="str">
            <v>NEW A/R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9335.49</v>
          </cell>
          <cell r="M107">
            <v>9335.49</v>
          </cell>
          <cell r="N107">
            <v>9335.49</v>
          </cell>
        </row>
        <row r="108">
          <cell r="D108" t="str">
            <v>NM SCP&amp;T</v>
          </cell>
          <cell r="E108" t="str">
            <v>NEW A/R</v>
          </cell>
          <cell r="F108">
            <v>14158</v>
          </cell>
          <cell r="G108">
            <v>38552</v>
          </cell>
          <cell r="H108">
            <v>30033</v>
          </cell>
          <cell r="I108">
            <v>23606</v>
          </cell>
          <cell r="J108">
            <v>0</v>
          </cell>
          <cell r="K108">
            <v>859</v>
          </cell>
          <cell r="L108">
            <v>5104</v>
          </cell>
          <cell r="M108">
            <v>112312</v>
          </cell>
          <cell r="N108">
            <v>29569</v>
          </cell>
        </row>
        <row r="109">
          <cell r="D109" t="str">
            <v>NRS COLLECTION</v>
          </cell>
          <cell r="E109" t="str">
            <v>NEW A/R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1285.03</v>
          </cell>
          <cell r="M109">
            <v>1285.03</v>
          </cell>
          <cell r="N109">
            <v>1285.03</v>
          </cell>
        </row>
        <row r="110">
          <cell r="D110" t="str">
            <v>NRS PAID IN FULL</v>
          </cell>
          <cell r="E110" t="str">
            <v>NEW A/R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-50</v>
          </cell>
          <cell r="M110">
            <v>-50</v>
          </cell>
          <cell r="N110">
            <v>-50</v>
          </cell>
        </row>
        <row r="111">
          <cell r="D111" t="str">
            <v>NRS PENDING PLACEMENT</v>
          </cell>
          <cell r="E111" t="str">
            <v>NEW A/R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 t="str">
            <v>OPTUM COORDINATED SERVICES</v>
          </cell>
          <cell r="E112" t="str">
            <v>NEW A/R</v>
          </cell>
          <cell r="F112">
            <v>8937.35</v>
          </cell>
          <cell r="G112">
            <v>72.27</v>
          </cell>
          <cell r="H112">
            <v>-340.25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8669.3700000000008</v>
          </cell>
          <cell r="N112">
            <v>0</v>
          </cell>
        </row>
        <row r="113">
          <cell r="D113" t="str">
            <v>OPTUM MANAGED CARE</v>
          </cell>
          <cell r="E113" t="str">
            <v>NEW A/R</v>
          </cell>
          <cell r="F113">
            <v>70105.960000000006</v>
          </cell>
          <cell r="G113">
            <v>2477.6999999999998</v>
          </cell>
          <cell r="H113">
            <v>1178.07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73761.73000000001</v>
          </cell>
          <cell r="N113">
            <v>0</v>
          </cell>
        </row>
        <row r="114">
          <cell r="D114" t="str">
            <v>OSI EBO PENDING PLACEMENT</v>
          </cell>
          <cell r="E114" t="str">
            <v>NEW A/R</v>
          </cell>
          <cell r="F114">
            <v>4241.3999999999996</v>
          </cell>
          <cell r="G114">
            <v>256.08999999999997</v>
          </cell>
          <cell r="H114">
            <v>252.45</v>
          </cell>
          <cell r="I114">
            <v>405.14</v>
          </cell>
          <cell r="J114">
            <v>0</v>
          </cell>
          <cell r="K114">
            <v>0</v>
          </cell>
          <cell r="L114">
            <v>-616.57000000000005</v>
          </cell>
          <cell r="M114">
            <v>4538.51</v>
          </cell>
          <cell r="N114">
            <v>-211.43000000000006</v>
          </cell>
        </row>
        <row r="115">
          <cell r="D115" t="str">
            <v>OSI EXTENDED BUSINESS OFFICE</v>
          </cell>
          <cell r="E115" t="str">
            <v>NEW A/R</v>
          </cell>
          <cell r="F115">
            <v>113241.53</v>
          </cell>
          <cell r="G115">
            <v>269791.84999999998</v>
          </cell>
          <cell r="H115">
            <v>494473.44</v>
          </cell>
          <cell r="I115">
            <v>1243213.23</v>
          </cell>
          <cell r="J115">
            <v>1433348.42</v>
          </cell>
          <cell r="K115">
            <v>1191327.47</v>
          </cell>
          <cell r="L115">
            <v>3370602.93</v>
          </cell>
          <cell r="M115">
            <v>8115998.8699999992</v>
          </cell>
          <cell r="N115">
            <v>7238492.0500000007</v>
          </cell>
        </row>
        <row r="116">
          <cell r="D116" t="str">
            <v>OSI PAID IN FULL</v>
          </cell>
          <cell r="E116" t="str">
            <v>NEW A/R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-281</v>
          </cell>
          <cell r="M116">
            <v>-281</v>
          </cell>
          <cell r="N116">
            <v>-281</v>
          </cell>
        </row>
        <row r="117">
          <cell r="D117" t="str">
            <v>OTHER/ COMMERCIAL INSURANCE</v>
          </cell>
          <cell r="E117" t="str">
            <v>NEW A/R</v>
          </cell>
          <cell r="F117">
            <v>302342.39</v>
          </cell>
          <cell r="G117">
            <v>229472.53</v>
          </cell>
          <cell r="H117">
            <v>135395.54999999999</v>
          </cell>
          <cell r="I117">
            <v>72478.62</v>
          </cell>
          <cell r="J117">
            <v>15750.18</v>
          </cell>
          <cell r="K117">
            <v>1911.66</v>
          </cell>
          <cell r="L117">
            <v>21991.97</v>
          </cell>
          <cell r="M117">
            <v>779342.9</v>
          </cell>
          <cell r="N117">
            <v>112132.43</v>
          </cell>
        </row>
        <row r="118">
          <cell r="D118" t="str">
            <v>OTHER/COMMERCIAL INS SECONDARY</v>
          </cell>
          <cell r="E118" t="str">
            <v>NEW A/R</v>
          </cell>
          <cell r="F118">
            <v>75.89</v>
          </cell>
          <cell r="G118">
            <v>1106.6199999999999</v>
          </cell>
          <cell r="H118">
            <v>220.17</v>
          </cell>
          <cell r="I118">
            <v>7953.02</v>
          </cell>
          <cell r="J118">
            <v>219.09</v>
          </cell>
          <cell r="K118">
            <v>-158.5</v>
          </cell>
          <cell r="L118">
            <v>-117.34</v>
          </cell>
          <cell r="M118">
            <v>9298.9500000000007</v>
          </cell>
          <cell r="N118">
            <v>7896.27</v>
          </cell>
        </row>
        <row r="119">
          <cell r="D119" t="str">
            <v>PAID UP FRONT</v>
          </cell>
          <cell r="E119" t="str">
            <v>NEW A/R</v>
          </cell>
          <cell r="F119">
            <v>6126.5</v>
          </cell>
          <cell r="G119">
            <v>5968.6</v>
          </cell>
          <cell r="H119">
            <v>1676.47</v>
          </cell>
          <cell r="I119">
            <v>1819.65</v>
          </cell>
          <cell r="J119">
            <v>69</v>
          </cell>
          <cell r="K119">
            <v>260</v>
          </cell>
          <cell r="L119">
            <v>-113.7</v>
          </cell>
          <cell r="M119">
            <v>15806.519999999999</v>
          </cell>
          <cell r="N119">
            <v>2034.95</v>
          </cell>
        </row>
        <row r="120">
          <cell r="D120" t="str">
            <v>PENDING COPAY</v>
          </cell>
          <cell r="E120" t="str">
            <v>NEW A/R</v>
          </cell>
          <cell r="F120">
            <v>21962.16</v>
          </cell>
          <cell r="G120">
            <v>24830.95</v>
          </cell>
          <cell r="H120">
            <v>12616.97</v>
          </cell>
          <cell r="I120">
            <v>1043.01</v>
          </cell>
          <cell r="J120">
            <v>550</v>
          </cell>
          <cell r="K120">
            <v>737.87</v>
          </cell>
          <cell r="L120">
            <v>232.28</v>
          </cell>
          <cell r="M120">
            <v>61973.240000000005</v>
          </cell>
          <cell r="N120">
            <v>2563.1600000000003</v>
          </cell>
        </row>
        <row r="121">
          <cell r="D121" t="str">
            <v>PENDING EMSA</v>
          </cell>
          <cell r="E121" t="str">
            <v>NEW A/R</v>
          </cell>
          <cell r="F121">
            <v>131996</v>
          </cell>
          <cell r="G121">
            <v>43335</v>
          </cell>
          <cell r="H121">
            <v>32566</v>
          </cell>
          <cell r="I121">
            <v>12390</v>
          </cell>
          <cell r="J121">
            <v>22</v>
          </cell>
          <cell r="K121">
            <v>0</v>
          </cell>
          <cell r="L121">
            <v>0</v>
          </cell>
          <cell r="M121">
            <v>220309</v>
          </cell>
          <cell r="N121">
            <v>12412</v>
          </cell>
        </row>
        <row r="122">
          <cell r="D122" t="str">
            <v>PENDING MEDICAID ELIGIBILITY</v>
          </cell>
          <cell r="E122" t="str">
            <v>NEW A/R</v>
          </cell>
          <cell r="F122">
            <v>245272.53</v>
          </cell>
          <cell r="G122">
            <v>163533.5</v>
          </cell>
          <cell r="H122">
            <v>46237.72</v>
          </cell>
          <cell r="I122">
            <v>13144</v>
          </cell>
          <cell r="J122">
            <v>0</v>
          </cell>
          <cell r="K122">
            <v>0</v>
          </cell>
          <cell r="L122">
            <v>0</v>
          </cell>
          <cell r="M122">
            <v>468187.75</v>
          </cell>
          <cell r="N122">
            <v>13144</v>
          </cell>
        </row>
        <row r="123">
          <cell r="D123" t="str">
            <v>PHP SALUD APPEAL</v>
          </cell>
          <cell r="E123" t="str">
            <v>NEW A/R</v>
          </cell>
          <cell r="F123">
            <v>13595</v>
          </cell>
          <cell r="G123">
            <v>27072.09</v>
          </cell>
          <cell r="H123">
            <v>13585.04</v>
          </cell>
          <cell r="I123">
            <v>24175.8</v>
          </cell>
          <cell r="J123">
            <v>3259.97</v>
          </cell>
          <cell r="K123">
            <v>29619.42</v>
          </cell>
          <cell r="L123">
            <v>60219.44</v>
          </cell>
          <cell r="M123">
            <v>171526.76</v>
          </cell>
          <cell r="N123">
            <v>117274.63</v>
          </cell>
        </row>
        <row r="124">
          <cell r="D124" t="str">
            <v>PRESBYTERIAN H/P-APPEAL</v>
          </cell>
          <cell r="E124" t="str">
            <v>NEW A/R</v>
          </cell>
          <cell r="F124">
            <v>6339.66</v>
          </cell>
          <cell r="G124">
            <v>21412.38</v>
          </cell>
          <cell r="H124">
            <v>11770.31</v>
          </cell>
          <cell r="I124">
            <v>18220.77</v>
          </cell>
          <cell r="J124">
            <v>7797.21</v>
          </cell>
          <cell r="K124">
            <v>9461.6</v>
          </cell>
          <cell r="L124">
            <v>19629.349999999999</v>
          </cell>
          <cell r="M124">
            <v>94631.28</v>
          </cell>
          <cell r="N124">
            <v>55108.93</v>
          </cell>
        </row>
        <row r="125">
          <cell r="D125" t="str">
            <v>PRESBYTERIAN HEALTH PLAN HMO/PPO</v>
          </cell>
          <cell r="E125" t="str">
            <v>NEW A/R</v>
          </cell>
          <cell r="F125">
            <v>526848.44999999995</v>
          </cell>
          <cell r="G125">
            <v>41567.870000000003</v>
          </cell>
          <cell r="H125">
            <v>3871.68</v>
          </cell>
          <cell r="I125">
            <v>3162.67</v>
          </cell>
          <cell r="J125">
            <v>-1633.13</v>
          </cell>
          <cell r="K125">
            <v>244.73</v>
          </cell>
          <cell r="L125">
            <v>33082.61</v>
          </cell>
          <cell r="M125">
            <v>607144.88</v>
          </cell>
          <cell r="N125">
            <v>34856.879999999997</v>
          </cell>
        </row>
        <row r="126">
          <cell r="D126" t="str">
            <v>PRESBYTERIAN HEALTH PLAN INDEMNITY</v>
          </cell>
          <cell r="E126" t="str">
            <v>NEW A/R</v>
          </cell>
          <cell r="F126">
            <v>14071</v>
          </cell>
          <cell r="G126">
            <v>1547.44</v>
          </cell>
          <cell r="H126">
            <v>126</v>
          </cell>
          <cell r="I126">
            <v>632.98</v>
          </cell>
          <cell r="J126">
            <v>30.71</v>
          </cell>
          <cell r="K126">
            <v>0</v>
          </cell>
          <cell r="L126">
            <v>-948.3</v>
          </cell>
          <cell r="M126">
            <v>15459.830000000002</v>
          </cell>
          <cell r="N126">
            <v>-284.6099999999999</v>
          </cell>
        </row>
        <row r="127">
          <cell r="D127" t="str">
            <v>PRESBYTERIAN RECOUPS</v>
          </cell>
          <cell r="E127" t="str">
            <v>NEW A/R</v>
          </cell>
          <cell r="F127">
            <v>0</v>
          </cell>
          <cell r="G127">
            <v>825.35</v>
          </cell>
          <cell r="H127">
            <v>3938.28</v>
          </cell>
          <cell r="I127">
            <v>1202</v>
          </cell>
          <cell r="J127">
            <v>4490.32</v>
          </cell>
          <cell r="K127">
            <v>92</v>
          </cell>
          <cell r="L127">
            <v>4692.97</v>
          </cell>
          <cell r="M127">
            <v>15240.920000000002</v>
          </cell>
          <cell r="N127">
            <v>10477.290000000001</v>
          </cell>
        </row>
        <row r="128">
          <cell r="D128" t="str">
            <v>PRESBYTERIAN SCI</v>
          </cell>
          <cell r="E128" t="str">
            <v>NEW A/R</v>
          </cell>
          <cell r="F128">
            <v>23902</v>
          </cell>
          <cell r="G128">
            <v>1393.02</v>
          </cell>
          <cell r="H128">
            <v>858</v>
          </cell>
          <cell r="I128">
            <v>1744</v>
          </cell>
          <cell r="J128">
            <v>784</v>
          </cell>
          <cell r="K128">
            <v>692</v>
          </cell>
          <cell r="L128">
            <v>-5.48</v>
          </cell>
          <cell r="M128">
            <v>29367.54</v>
          </cell>
          <cell r="N128">
            <v>3214.52</v>
          </cell>
        </row>
        <row r="129">
          <cell r="D129" t="str">
            <v>PRESBYTERIAN SCI APPEAL</v>
          </cell>
          <cell r="E129" t="str">
            <v>NEW A/R</v>
          </cell>
          <cell r="F129">
            <v>8809.6</v>
          </cell>
          <cell r="G129">
            <v>5818</v>
          </cell>
          <cell r="H129">
            <v>472</v>
          </cell>
          <cell r="I129">
            <v>1914</v>
          </cell>
          <cell r="J129">
            <v>1055</v>
          </cell>
          <cell r="K129">
            <v>189</v>
          </cell>
          <cell r="L129">
            <v>3984</v>
          </cell>
          <cell r="M129">
            <v>22241.599999999999</v>
          </cell>
          <cell r="N129">
            <v>7142</v>
          </cell>
        </row>
        <row r="130">
          <cell r="D130" t="str">
            <v>PRINCIPAL LIFE/COMM'L</v>
          </cell>
          <cell r="E130" t="str">
            <v>NEW A/R</v>
          </cell>
          <cell r="F130">
            <v>11297.88</v>
          </cell>
          <cell r="G130">
            <v>562.80999999999995</v>
          </cell>
          <cell r="H130">
            <v>1108</v>
          </cell>
          <cell r="I130">
            <v>44.03</v>
          </cell>
          <cell r="J130">
            <v>1931.51</v>
          </cell>
          <cell r="K130">
            <v>22.29</v>
          </cell>
          <cell r="L130">
            <v>-500.15</v>
          </cell>
          <cell r="M130">
            <v>14466.37</v>
          </cell>
          <cell r="N130">
            <v>1497.6799999999998</v>
          </cell>
        </row>
        <row r="131">
          <cell r="D131" t="str">
            <v>PRINCIPLE FINANCIAL APPEAL</v>
          </cell>
          <cell r="E131" t="str">
            <v>NEW A/R</v>
          </cell>
          <cell r="F131">
            <v>0</v>
          </cell>
          <cell r="G131">
            <v>83</v>
          </cell>
          <cell r="H131">
            <v>1245.03</v>
          </cell>
          <cell r="I131">
            <v>595</v>
          </cell>
          <cell r="J131">
            <v>0</v>
          </cell>
          <cell r="K131">
            <v>234</v>
          </cell>
          <cell r="L131">
            <v>797.44</v>
          </cell>
          <cell r="M131">
            <v>2954.47</v>
          </cell>
          <cell r="N131">
            <v>1626.44</v>
          </cell>
        </row>
        <row r="132">
          <cell r="D132" t="str">
            <v>RECOUPS</v>
          </cell>
          <cell r="E132" t="str">
            <v>NEW A/R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1796.67</v>
          </cell>
          <cell r="M132">
            <v>1796.67</v>
          </cell>
          <cell r="N132">
            <v>1796.67</v>
          </cell>
        </row>
        <row r="133">
          <cell r="D133" t="str">
            <v>RETURNED MAIL</v>
          </cell>
          <cell r="E133" t="str">
            <v>NEW A/R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 t="str">
            <v>RISK MANAGEMENT-SELF PAY</v>
          </cell>
          <cell r="E134" t="str">
            <v>NEW A/R</v>
          </cell>
          <cell r="F134">
            <v>-98.54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-54.28</v>
          </cell>
          <cell r="M134">
            <v>-152.82</v>
          </cell>
          <cell r="N134">
            <v>-54.28</v>
          </cell>
        </row>
        <row r="135">
          <cell r="D135" t="str">
            <v>SALUD LOVELACE</v>
          </cell>
          <cell r="E135" t="str">
            <v>NEW A/R</v>
          </cell>
          <cell r="F135">
            <v>766508.2</v>
          </cell>
          <cell r="G135">
            <v>36467.800000000003</v>
          </cell>
          <cell r="H135">
            <v>11404.62</v>
          </cell>
          <cell r="I135">
            <v>14355.54</v>
          </cell>
          <cell r="J135">
            <v>4585.53</v>
          </cell>
          <cell r="K135">
            <v>3112.1</v>
          </cell>
          <cell r="L135">
            <v>1106.8800000000001</v>
          </cell>
          <cell r="M135">
            <v>837540.67</v>
          </cell>
          <cell r="N135">
            <v>23160.05</v>
          </cell>
        </row>
        <row r="136">
          <cell r="D136" t="str">
            <v>SALUD PRESBYTERIAN</v>
          </cell>
          <cell r="E136" t="str">
            <v>NEW A/R</v>
          </cell>
          <cell r="F136">
            <v>694772.22</v>
          </cell>
          <cell r="G136">
            <v>13791.71</v>
          </cell>
          <cell r="H136">
            <v>10217.52</v>
          </cell>
          <cell r="I136">
            <v>4129.8999999999996</v>
          </cell>
          <cell r="J136">
            <v>2480</v>
          </cell>
          <cell r="K136">
            <v>207.4</v>
          </cell>
          <cell r="L136">
            <v>-7290.52</v>
          </cell>
          <cell r="M136">
            <v>718308.23</v>
          </cell>
          <cell r="N136">
            <v>-473.22000000000116</v>
          </cell>
        </row>
        <row r="137">
          <cell r="D137" t="str">
            <v>SECTION 1011</v>
          </cell>
          <cell r="E137" t="str">
            <v>NEW A/R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442</v>
          </cell>
          <cell r="K137">
            <v>3033.2</v>
          </cell>
          <cell r="L137">
            <v>85575.02</v>
          </cell>
          <cell r="M137">
            <v>89050.22</v>
          </cell>
          <cell r="N137">
            <v>89050.22</v>
          </cell>
        </row>
        <row r="138">
          <cell r="D138" t="str">
            <v>SELF PAY</v>
          </cell>
          <cell r="E138" t="str">
            <v>NEW A/R</v>
          </cell>
          <cell r="F138">
            <v>1607495.46</v>
          </cell>
          <cell r="G138">
            <v>1478424.46</v>
          </cell>
          <cell r="H138">
            <v>775280.5</v>
          </cell>
          <cell r="I138">
            <v>366776.05</v>
          </cell>
          <cell r="J138">
            <v>161371.09</v>
          </cell>
          <cell r="K138">
            <v>106711.78</v>
          </cell>
          <cell r="L138">
            <v>271258.93</v>
          </cell>
          <cell r="M138">
            <v>4767318.2699999996</v>
          </cell>
          <cell r="N138">
            <v>906117.85000000009</v>
          </cell>
        </row>
        <row r="139">
          <cell r="D139" t="str">
            <v>SPECIAL BILLING (W/O CLAIMS)</v>
          </cell>
          <cell r="E139" t="str">
            <v>NEW A/R</v>
          </cell>
          <cell r="F139">
            <v>495985.76</v>
          </cell>
          <cell r="G139">
            <v>414838.88</v>
          </cell>
          <cell r="H139">
            <v>68918.63</v>
          </cell>
          <cell r="I139">
            <v>41726.160000000003</v>
          </cell>
          <cell r="J139">
            <v>0</v>
          </cell>
          <cell r="K139">
            <v>98624.65</v>
          </cell>
          <cell r="L139">
            <v>9226</v>
          </cell>
          <cell r="M139">
            <v>1129320.08</v>
          </cell>
          <cell r="N139">
            <v>149576.81</v>
          </cell>
        </row>
        <row r="140">
          <cell r="D140" t="str">
            <v>SPECIAL BILLING APPEAL</v>
          </cell>
          <cell r="E140" t="str">
            <v>NEW A/R</v>
          </cell>
          <cell r="F140">
            <v>0</v>
          </cell>
          <cell r="G140">
            <v>0</v>
          </cell>
          <cell r="H140">
            <v>0</v>
          </cell>
          <cell r="I140">
            <v>266</v>
          </cell>
          <cell r="J140">
            <v>0</v>
          </cell>
          <cell r="K140">
            <v>0</v>
          </cell>
          <cell r="L140">
            <v>-5.55</v>
          </cell>
          <cell r="M140">
            <v>260.45</v>
          </cell>
          <cell r="N140">
            <v>260.45</v>
          </cell>
        </row>
        <row r="141">
          <cell r="D141" t="str">
            <v>SPECIAL PROJECT BCBS</v>
          </cell>
          <cell r="E141" t="str">
            <v>NEW A/R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504.67</v>
          </cell>
          <cell r="M141">
            <v>504.67</v>
          </cell>
          <cell r="N141">
            <v>504.67</v>
          </cell>
        </row>
        <row r="142">
          <cell r="D142" t="str">
            <v>SPECIAL PROJECT LOVELACE SALUD</v>
          </cell>
          <cell r="E142" t="str">
            <v>NEW A/R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11535</v>
          </cell>
          <cell r="M142">
            <v>11535</v>
          </cell>
          <cell r="N142">
            <v>11535</v>
          </cell>
        </row>
        <row r="143">
          <cell r="D143" t="str">
            <v>SPECIAL PROJECT MEDICAID</v>
          </cell>
          <cell r="E143" t="str">
            <v>NEW A/R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54086.14</v>
          </cell>
          <cell r="M143">
            <v>54086.14</v>
          </cell>
          <cell r="N143">
            <v>54086.14</v>
          </cell>
        </row>
        <row r="144">
          <cell r="D144" t="str">
            <v>SPECIAL PROJECT PRES COMM</v>
          </cell>
          <cell r="E144" t="str">
            <v>NEW A/R</v>
          </cell>
          <cell r="F144">
            <v>4169.92</v>
          </cell>
          <cell r="G144">
            <v>1926.33</v>
          </cell>
          <cell r="H144">
            <v>17688.8</v>
          </cell>
          <cell r="I144">
            <v>1939.2</v>
          </cell>
          <cell r="J144">
            <v>5705.41</v>
          </cell>
          <cell r="K144">
            <v>2773.71</v>
          </cell>
          <cell r="L144">
            <v>5589.26</v>
          </cell>
          <cell r="M144">
            <v>39792.630000000005</v>
          </cell>
          <cell r="N144">
            <v>16007.58</v>
          </cell>
        </row>
        <row r="145">
          <cell r="D145" t="str">
            <v>SPECIAL PROJECT PRESBYTERIAN SALUD</v>
          </cell>
          <cell r="E145" t="str">
            <v>NEW A/R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65.209999999999994</v>
          </cell>
          <cell r="M145">
            <v>65.209999999999994</v>
          </cell>
          <cell r="N145">
            <v>65.209999999999994</v>
          </cell>
        </row>
        <row r="146">
          <cell r="D146" t="str">
            <v>SPECIAL PROJECT UNITED HEALTH</v>
          </cell>
          <cell r="E146" t="str">
            <v>NEW A/R</v>
          </cell>
          <cell r="F146">
            <v>0</v>
          </cell>
          <cell r="G146">
            <v>148</v>
          </cell>
          <cell r="H146">
            <v>211</v>
          </cell>
          <cell r="I146">
            <v>110</v>
          </cell>
          <cell r="J146">
            <v>110</v>
          </cell>
          <cell r="K146">
            <v>0</v>
          </cell>
          <cell r="L146">
            <v>204.68</v>
          </cell>
          <cell r="M146">
            <v>783.68000000000006</v>
          </cell>
          <cell r="N146">
            <v>424.68</v>
          </cell>
        </row>
        <row r="147">
          <cell r="D147" t="str">
            <v>SPECIAL PROJECT VO</v>
          </cell>
          <cell r="E147" t="str">
            <v>NEW A/R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-375.8</v>
          </cell>
          <cell r="M147">
            <v>-375.8</v>
          </cell>
          <cell r="N147">
            <v>-375.8</v>
          </cell>
        </row>
        <row r="148">
          <cell r="D148" t="str">
            <v>STATE COVERAGE INSURANCE</v>
          </cell>
          <cell r="E148" t="str">
            <v>NEW A/R</v>
          </cell>
          <cell r="F148">
            <v>917.71</v>
          </cell>
          <cell r="G148">
            <v>38.68</v>
          </cell>
          <cell r="H148">
            <v>-20</v>
          </cell>
          <cell r="I148">
            <v>-110</v>
          </cell>
          <cell r="J148">
            <v>-15</v>
          </cell>
          <cell r="K148">
            <v>-5</v>
          </cell>
          <cell r="L148">
            <v>17.920000000000002</v>
          </cell>
          <cell r="M148">
            <v>824.31</v>
          </cell>
          <cell r="N148">
            <v>-112.08</v>
          </cell>
        </row>
        <row r="149">
          <cell r="D149" t="str">
            <v>STUDENT INS APPEAL</v>
          </cell>
          <cell r="E149" t="str">
            <v>NEW A/R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44</v>
          </cell>
          <cell r="M149">
            <v>44</v>
          </cell>
          <cell r="N149">
            <v>44</v>
          </cell>
        </row>
        <row r="150">
          <cell r="D150" t="str">
            <v>STUDENT INSURANCE</v>
          </cell>
          <cell r="E150" t="str">
            <v>NEW A/R</v>
          </cell>
          <cell r="F150">
            <v>12411</v>
          </cell>
          <cell r="G150">
            <v>21751.040000000001</v>
          </cell>
          <cell r="H150">
            <v>7668</v>
          </cell>
          <cell r="I150">
            <v>4890.6499999999996</v>
          </cell>
          <cell r="J150">
            <v>1324</v>
          </cell>
          <cell r="K150">
            <v>35</v>
          </cell>
          <cell r="L150">
            <v>306.37</v>
          </cell>
          <cell r="M150">
            <v>48386.060000000005</v>
          </cell>
          <cell r="N150">
            <v>6556.0199999999995</v>
          </cell>
        </row>
        <row r="151">
          <cell r="D151" t="str">
            <v>SUSPENSE/ALL</v>
          </cell>
          <cell r="E151" t="str">
            <v>NEW A/R</v>
          </cell>
          <cell r="F151">
            <v>-5131.4399999999996</v>
          </cell>
          <cell r="G151">
            <v>-3572.97</v>
          </cell>
          <cell r="H151">
            <v>-5176.17</v>
          </cell>
          <cell r="I151">
            <v>-2725.79</v>
          </cell>
          <cell r="J151">
            <v>301.19</v>
          </cell>
          <cell r="K151">
            <v>-1597.76</v>
          </cell>
          <cell r="L151">
            <v>9279.69</v>
          </cell>
          <cell r="M151">
            <v>-8623.2499999999982</v>
          </cell>
          <cell r="N151">
            <v>5257.3300000000008</v>
          </cell>
        </row>
        <row r="152">
          <cell r="D152" t="str">
            <v>TRICARE</v>
          </cell>
          <cell r="E152" t="str">
            <v>NEW A/R</v>
          </cell>
          <cell r="F152">
            <v>403599.96</v>
          </cell>
          <cell r="G152">
            <v>43093.98</v>
          </cell>
          <cell r="H152">
            <v>42634.84</v>
          </cell>
          <cell r="I152">
            <v>3390.63</v>
          </cell>
          <cell r="J152">
            <v>835.22</v>
          </cell>
          <cell r="K152">
            <v>502.78</v>
          </cell>
          <cell r="L152">
            <v>3176.47</v>
          </cell>
          <cell r="M152">
            <v>497233.88</v>
          </cell>
          <cell r="N152">
            <v>7905.1</v>
          </cell>
        </row>
        <row r="153">
          <cell r="D153" t="str">
            <v>TRICARE APPEAL</v>
          </cell>
          <cell r="E153" t="str">
            <v>NEW A/R</v>
          </cell>
          <cell r="F153">
            <v>2136.1999999999998</v>
          </cell>
          <cell r="G153">
            <v>8213.7199999999993</v>
          </cell>
          <cell r="H153">
            <v>7587.92</v>
          </cell>
          <cell r="I153">
            <v>5049.2</v>
          </cell>
          <cell r="J153">
            <v>2394.67</v>
          </cell>
          <cell r="K153">
            <v>7225.23</v>
          </cell>
          <cell r="L153">
            <v>6413.89</v>
          </cell>
          <cell r="M153">
            <v>39020.83</v>
          </cell>
          <cell r="N153">
            <v>21082.989999999998</v>
          </cell>
        </row>
        <row r="154">
          <cell r="D154" t="str">
            <v>TRI-CARE RECOUPS</v>
          </cell>
          <cell r="E154" t="str">
            <v>NEW A/R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 t="str">
            <v>TRUMAN STREET CLINIC-RYAN WHITE</v>
          </cell>
          <cell r="E155" t="str">
            <v>NEW A/R</v>
          </cell>
          <cell r="F155">
            <v>3486.61</v>
          </cell>
          <cell r="G155">
            <v>7817.86</v>
          </cell>
          <cell r="H155">
            <v>2211.1799999999998</v>
          </cell>
          <cell r="I155">
            <v>2965.59</v>
          </cell>
          <cell r="J155">
            <v>4063.31</v>
          </cell>
          <cell r="K155">
            <v>786.37</v>
          </cell>
          <cell r="L155">
            <v>2869</v>
          </cell>
          <cell r="M155">
            <v>24199.919999999998</v>
          </cell>
          <cell r="N155">
            <v>10684.27</v>
          </cell>
        </row>
        <row r="156">
          <cell r="D156" t="str">
            <v>UH ONLY VISIT</v>
          </cell>
          <cell r="E156" t="str">
            <v>NEW A/R</v>
          </cell>
          <cell r="F156">
            <v>-145</v>
          </cell>
          <cell r="G156">
            <v>-110</v>
          </cell>
          <cell r="H156">
            <v>-100</v>
          </cell>
          <cell r="I156">
            <v>-160</v>
          </cell>
          <cell r="J156">
            <v>-85</v>
          </cell>
          <cell r="K156">
            <v>0</v>
          </cell>
          <cell r="L156">
            <v>-35</v>
          </cell>
          <cell r="M156">
            <v>-635</v>
          </cell>
          <cell r="N156">
            <v>-280</v>
          </cell>
        </row>
        <row r="157">
          <cell r="D157" t="str">
            <v>UHC MEDICARE REPLACEMENT</v>
          </cell>
          <cell r="E157" t="str">
            <v>NEW A/R</v>
          </cell>
          <cell r="F157">
            <v>78490.600000000006</v>
          </cell>
          <cell r="G157">
            <v>11054.71</v>
          </cell>
          <cell r="H157">
            <v>1901</v>
          </cell>
          <cell r="I157">
            <v>1756.76</v>
          </cell>
          <cell r="J157">
            <v>35.96</v>
          </cell>
          <cell r="K157">
            <v>0</v>
          </cell>
          <cell r="L157">
            <v>-148.58000000000001</v>
          </cell>
          <cell r="M157">
            <v>93090.45</v>
          </cell>
          <cell r="N157">
            <v>1644.14</v>
          </cell>
        </row>
        <row r="158">
          <cell r="D158" t="str">
            <v>UHC MEDICARE REPLACEMENT APPEAL</v>
          </cell>
          <cell r="E158" t="str">
            <v>NEW A/R</v>
          </cell>
          <cell r="F158">
            <v>196</v>
          </cell>
          <cell r="G158">
            <v>1725.72</v>
          </cell>
          <cell r="H158">
            <v>1211.43</v>
          </cell>
          <cell r="I158">
            <v>977.6</v>
          </cell>
          <cell r="J158">
            <v>223</v>
          </cell>
          <cell r="K158">
            <v>1336</v>
          </cell>
          <cell r="L158">
            <v>3695.6</v>
          </cell>
          <cell r="M158">
            <v>9365.35</v>
          </cell>
          <cell r="N158">
            <v>6232.2</v>
          </cell>
        </row>
        <row r="159">
          <cell r="D159" t="str">
            <v>UNITED HEALTH CARE</v>
          </cell>
          <cell r="E159" t="str">
            <v>NEW A/R</v>
          </cell>
          <cell r="F159">
            <v>328010.90999999997</v>
          </cell>
          <cell r="G159">
            <v>37357.599999999999</v>
          </cell>
          <cell r="H159">
            <v>12923.58</v>
          </cell>
          <cell r="I159">
            <v>5297.83</v>
          </cell>
          <cell r="J159">
            <v>1422.81</v>
          </cell>
          <cell r="K159">
            <v>863.03</v>
          </cell>
          <cell r="L159">
            <v>-8466.9</v>
          </cell>
          <cell r="M159">
            <v>377408.86</v>
          </cell>
          <cell r="N159">
            <v>-883.23000000000047</v>
          </cell>
        </row>
        <row r="160">
          <cell r="D160" t="str">
            <v>UNITED HEALTH CARE APPEAL</v>
          </cell>
          <cell r="E160" t="str">
            <v>NEW A/R</v>
          </cell>
          <cell r="F160">
            <v>4854.3599999999997</v>
          </cell>
          <cell r="G160">
            <v>38380.949999999997</v>
          </cell>
          <cell r="H160">
            <v>8722.39</v>
          </cell>
          <cell r="I160">
            <v>13114.39</v>
          </cell>
          <cell r="J160">
            <v>14392.22</v>
          </cell>
          <cell r="K160">
            <v>10770.44</v>
          </cell>
          <cell r="L160">
            <v>62650.77</v>
          </cell>
          <cell r="M160">
            <v>152885.51999999999</v>
          </cell>
          <cell r="N160">
            <v>100927.82</v>
          </cell>
        </row>
        <row r="161">
          <cell r="D161" t="str">
            <v>UNITED HEALTH CARE RECOUPS</v>
          </cell>
          <cell r="E161" t="str">
            <v>NEW A/R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-8150.97</v>
          </cell>
          <cell r="M161">
            <v>-8150.97</v>
          </cell>
          <cell r="N161">
            <v>-8150.97</v>
          </cell>
        </row>
        <row r="162">
          <cell r="D162" t="str">
            <v>UNITED HEALTH CARE-UNM EMP</v>
          </cell>
          <cell r="E162" t="str">
            <v>NEW A/R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-2306.02</v>
          </cell>
          <cell r="M162">
            <v>-2306.02</v>
          </cell>
          <cell r="N162">
            <v>-2306.02</v>
          </cell>
        </row>
        <row r="163">
          <cell r="D163" t="str">
            <v>UNITED HEALTH CR APPEAL-UNM EMP</v>
          </cell>
          <cell r="E163" t="str">
            <v>NEW A/R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156.08000000000001</v>
          </cell>
          <cell r="M163">
            <v>156.08000000000001</v>
          </cell>
          <cell r="N163">
            <v>156.08000000000001</v>
          </cell>
        </row>
        <row r="164">
          <cell r="D164" t="str">
            <v>UNM ATHLETES</v>
          </cell>
          <cell r="E164" t="str">
            <v>NEW A/R</v>
          </cell>
          <cell r="F164">
            <v>1624.35</v>
          </cell>
          <cell r="G164">
            <v>26.32</v>
          </cell>
          <cell r="H164">
            <v>0</v>
          </cell>
          <cell r="I164">
            <v>0</v>
          </cell>
          <cell r="J164">
            <v>147</v>
          </cell>
          <cell r="K164">
            <v>0</v>
          </cell>
          <cell r="L164">
            <v>-217.4</v>
          </cell>
          <cell r="M164">
            <v>1580.2699999999998</v>
          </cell>
          <cell r="N164">
            <v>-70.400000000000006</v>
          </cell>
        </row>
        <row r="165">
          <cell r="D165" t="str">
            <v>UNM CARE PROGRAM</v>
          </cell>
          <cell r="E165" t="str">
            <v>NEW A/R</v>
          </cell>
          <cell r="F165">
            <v>168121.74</v>
          </cell>
          <cell r="G165">
            <v>7267.58</v>
          </cell>
          <cell r="H165">
            <v>6013.92</v>
          </cell>
          <cell r="I165">
            <v>1107.25</v>
          </cell>
          <cell r="J165">
            <v>15.73</v>
          </cell>
          <cell r="K165">
            <v>313</v>
          </cell>
          <cell r="L165">
            <v>-795.68</v>
          </cell>
          <cell r="M165">
            <v>182043.54</v>
          </cell>
          <cell r="N165">
            <v>640.30000000000007</v>
          </cell>
        </row>
        <row r="166">
          <cell r="D166" t="str">
            <v>UNM EOHS</v>
          </cell>
          <cell r="E166" t="str">
            <v>NEW A/R</v>
          </cell>
          <cell r="F166">
            <v>3752.1</v>
          </cell>
          <cell r="G166">
            <v>333</v>
          </cell>
          <cell r="H166">
            <v>135</v>
          </cell>
          <cell r="I166">
            <v>318</v>
          </cell>
          <cell r="J166">
            <v>118</v>
          </cell>
          <cell r="K166">
            <v>56</v>
          </cell>
          <cell r="L166">
            <v>9040.11</v>
          </cell>
          <cell r="M166">
            <v>13752.210000000001</v>
          </cell>
          <cell r="N166">
            <v>9532.11</v>
          </cell>
        </row>
        <row r="167">
          <cell r="D167" t="str">
            <v>UNMMG SELF PAY REVIEW</v>
          </cell>
          <cell r="E167" t="str">
            <v>NEW A/R</v>
          </cell>
          <cell r="F167">
            <v>2408.61</v>
          </cell>
          <cell r="G167">
            <v>3805.95</v>
          </cell>
          <cell r="H167">
            <v>2791.46</v>
          </cell>
          <cell r="I167">
            <v>2025.22</v>
          </cell>
          <cell r="J167">
            <v>202.19</v>
          </cell>
          <cell r="K167">
            <v>87.4</v>
          </cell>
          <cell r="L167">
            <v>180.87</v>
          </cell>
          <cell r="M167">
            <v>11501.7</v>
          </cell>
          <cell r="N167">
            <v>2495.6799999999998</v>
          </cell>
        </row>
        <row r="168">
          <cell r="D168" t="str">
            <v>V/O DEPARTMENT OF HEALTH</v>
          </cell>
          <cell r="E168" t="str">
            <v>NEW A/R</v>
          </cell>
          <cell r="F168">
            <v>5364.61</v>
          </cell>
          <cell r="G168">
            <v>1090.3399999999999</v>
          </cell>
          <cell r="H168">
            <v>342.76</v>
          </cell>
          <cell r="I168">
            <v>334.06</v>
          </cell>
          <cell r="J168">
            <v>0</v>
          </cell>
          <cell r="K168">
            <v>0</v>
          </cell>
          <cell r="L168">
            <v>-121.36</v>
          </cell>
          <cell r="M168">
            <v>7010.4100000000008</v>
          </cell>
          <cell r="N168">
            <v>212.7</v>
          </cell>
        </row>
        <row r="169">
          <cell r="D169" t="str">
            <v>VA HOSPITAL, REFERRAL</v>
          </cell>
          <cell r="E169" t="str">
            <v>NEW A/R</v>
          </cell>
          <cell r="F169">
            <v>234971.76</v>
          </cell>
          <cell r="G169">
            <v>117755.02</v>
          </cell>
          <cell r="H169">
            <v>75147.73</v>
          </cell>
          <cell r="I169">
            <v>36207.480000000003</v>
          </cell>
          <cell r="J169">
            <v>14096.56</v>
          </cell>
          <cell r="K169">
            <v>26852.86</v>
          </cell>
          <cell r="L169">
            <v>42207.18</v>
          </cell>
          <cell r="M169">
            <v>547238.59</v>
          </cell>
          <cell r="N169">
            <v>119364.07999999999</v>
          </cell>
        </row>
        <row r="170">
          <cell r="D170" t="str">
            <v>VALENCIA COUNTY (INDIGENT) FUND</v>
          </cell>
          <cell r="E170" t="str">
            <v>NEW A/R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245.57</v>
          </cell>
          <cell r="M170">
            <v>245.57</v>
          </cell>
          <cell r="N170">
            <v>245.57</v>
          </cell>
        </row>
        <row r="171">
          <cell r="D171" t="str">
            <v>VO COORDINATED SERVICES</v>
          </cell>
          <cell r="E171" t="str">
            <v>NEW A/R</v>
          </cell>
          <cell r="F171">
            <v>0</v>
          </cell>
          <cell r="G171">
            <v>0</v>
          </cell>
          <cell r="H171">
            <v>1693</v>
          </cell>
          <cell r="I171">
            <v>87.08</v>
          </cell>
          <cell r="J171">
            <v>-457.5</v>
          </cell>
          <cell r="K171">
            <v>442</v>
          </cell>
          <cell r="L171">
            <v>-798.47</v>
          </cell>
          <cell r="M171">
            <v>966.1099999999999</v>
          </cell>
          <cell r="N171">
            <v>-726.8900000000001</v>
          </cell>
        </row>
        <row r="172">
          <cell r="D172" t="str">
            <v>VO COORDINATED SERVICES APPEAL</v>
          </cell>
          <cell r="E172" t="str">
            <v>NEW A/R</v>
          </cell>
          <cell r="F172">
            <v>91</v>
          </cell>
          <cell r="G172">
            <v>2713</v>
          </cell>
          <cell r="H172">
            <v>1081</v>
          </cell>
          <cell r="I172">
            <v>558</v>
          </cell>
          <cell r="J172">
            <v>386.22</v>
          </cell>
          <cell r="K172">
            <v>0</v>
          </cell>
          <cell r="L172">
            <v>-294.7</v>
          </cell>
          <cell r="M172">
            <v>4534.5200000000004</v>
          </cell>
          <cell r="N172">
            <v>649.52</v>
          </cell>
        </row>
        <row r="173">
          <cell r="D173" t="str">
            <v>VO MANAGED CARE</v>
          </cell>
          <cell r="E173" t="str">
            <v>NEW A/R</v>
          </cell>
          <cell r="F173">
            <v>1396</v>
          </cell>
          <cell r="G173">
            <v>20</v>
          </cell>
          <cell r="H173">
            <v>768.43</v>
          </cell>
          <cell r="I173">
            <v>52.13</v>
          </cell>
          <cell r="J173">
            <v>-1065.5899999999999</v>
          </cell>
          <cell r="K173">
            <v>-1732.33</v>
          </cell>
          <cell r="L173">
            <v>-2833.78</v>
          </cell>
          <cell r="M173">
            <v>-3395.1400000000003</v>
          </cell>
          <cell r="N173">
            <v>-5579.57</v>
          </cell>
        </row>
        <row r="174">
          <cell r="D174" t="str">
            <v>VO MANAGED CARE APPEAL</v>
          </cell>
          <cell r="E174" t="str">
            <v>NEW A/R</v>
          </cell>
          <cell r="F174">
            <v>9524</v>
          </cell>
          <cell r="G174">
            <v>8070</v>
          </cell>
          <cell r="H174">
            <v>9005</v>
          </cell>
          <cell r="I174">
            <v>2711.45</v>
          </cell>
          <cell r="J174">
            <v>319</v>
          </cell>
          <cell r="K174">
            <v>0</v>
          </cell>
          <cell r="L174">
            <v>477.28</v>
          </cell>
          <cell r="M174">
            <v>30106.73</v>
          </cell>
          <cell r="N174">
            <v>3507.7299999999996</v>
          </cell>
        </row>
        <row r="175">
          <cell r="D175" t="str">
            <v>VO RECOUPS</v>
          </cell>
          <cell r="E175" t="str">
            <v>NEW A/R</v>
          </cell>
          <cell r="F175">
            <v>0</v>
          </cell>
          <cell r="G175">
            <v>0</v>
          </cell>
          <cell r="H175">
            <v>438</v>
          </cell>
          <cell r="I175">
            <v>-401</v>
          </cell>
          <cell r="J175">
            <v>0</v>
          </cell>
          <cell r="K175">
            <v>316</v>
          </cell>
          <cell r="L175">
            <v>5484</v>
          </cell>
          <cell r="M175">
            <v>5837</v>
          </cell>
          <cell r="N175">
            <v>5399</v>
          </cell>
        </row>
        <row r="176">
          <cell r="D176" t="str">
            <v>WORKERS COMP APPEAL</v>
          </cell>
          <cell r="E176" t="str">
            <v>NEW A/R</v>
          </cell>
          <cell r="F176">
            <v>54</v>
          </cell>
          <cell r="G176">
            <v>1111</v>
          </cell>
          <cell r="H176">
            <v>5410</v>
          </cell>
          <cell r="I176">
            <v>12627.8</v>
          </cell>
          <cell r="J176">
            <v>1740.49</v>
          </cell>
          <cell r="K176">
            <v>4000.4</v>
          </cell>
          <cell r="L176">
            <v>53606.81</v>
          </cell>
          <cell r="M176">
            <v>78550.5</v>
          </cell>
          <cell r="N176">
            <v>71975.5</v>
          </cell>
        </row>
        <row r="177">
          <cell r="D177" t="str">
            <v>WORKERS COMPENSATION</v>
          </cell>
          <cell r="E177" t="str">
            <v>NEW A/R</v>
          </cell>
          <cell r="F177">
            <v>232440.8</v>
          </cell>
          <cell r="G177">
            <v>115269.5</v>
          </cell>
          <cell r="H177">
            <v>30447.08</v>
          </cell>
          <cell r="I177">
            <v>21294.6</v>
          </cell>
          <cell r="J177">
            <v>21895</v>
          </cell>
          <cell r="K177">
            <v>5185.6000000000004</v>
          </cell>
          <cell r="L177">
            <v>8939.74</v>
          </cell>
          <cell r="M177">
            <v>435472.31999999995</v>
          </cell>
          <cell r="N177">
            <v>57314.939999999995</v>
          </cell>
        </row>
        <row r="178">
          <cell r="D178" t="str">
            <v>WORKERS COMPENSATION HOSPITAL EMPLOYEES</v>
          </cell>
          <cell r="E178" t="str">
            <v>NEW A/R</v>
          </cell>
          <cell r="F178">
            <v>31843.3</v>
          </cell>
          <cell r="G178">
            <v>6826</v>
          </cell>
          <cell r="H178">
            <v>15221.7</v>
          </cell>
          <cell r="I178">
            <v>4265</v>
          </cell>
          <cell r="J178">
            <v>380</v>
          </cell>
          <cell r="K178">
            <v>1591</v>
          </cell>
          <cell r="L178">
            <v>8698.5</v>
          </cell>
          <cell r="M178">
            <v>68825.5</v>
          </cell>
          <cell r="N178">
            <v>14934.5</v>
          </cell>
        </row>
      </sheetData>
      <sheetData sheetId="15">
        <row r="2">
          <cell r="D2" t="str">
            <v>AARP</v>
          </cell>
          <cell r="E2" t="str">
            <v>NEW A/R</v>
          </cell>
          <cell r="F2">
            <v>5193.22</v>
          </cell>
          <cell r="G2">
            <v>6595.78</v>
          </cell>
          <cell r="H2">
            <v>2823.7</v>
          </cell>
          <cell r="I2">
            <v>183.23</v>
          </cell>
          <cell r="J2">
            <v>40.24</v>
          </cell>
          <cell r="K2">
            <v>33.43</v>
          </cell>
          <cell r="L2">
            <v>-1195.79</v>
          </cell>
          <cell r="M2">
            <v>13673.810000000001</v>
          </cell>
          <cell r="N2">
            <v>-938.89</v>
          </cell>
        </row>
        <row r="3">
          <cell r="D3" t="str">
            <v>AARP APPEAL</v>
          </cell>
          <cell r="E3" t="str">
            <v>NEW A/R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86</v>
          </cell>
          <cell r="K3">
            <v>67.64</v>
          </cell>
          <cell r="L3">
            <v>0</v>
          </cell>
          <cell r="M3">
            <v>153.63999999999999</v>
          </cell>
          <cell r="N3">
            <v>153.63999999999999</v>
          </cell>
        </row>
        <row r="4">
          <cell r="D4" t="str">
            <v>AETNA APPEAL</v>
          </cell>
          <cell r="E4" t="str">
            <v>NEW A/R</v>
          </cell>
          <cell r="F4">
            <v>401</v>
          </cell>
          <cell r="G4">
            <v>15485.66</v>
          </cell>
          <cell r="H4">
            <v>2112.9699999999998</v>
          </cell>
          <cell r="I4">
            <v>29481.16</v>
          </cell>
          <cell r="J4">
            <v>513.16</v>
          </cell>
          <cell r="K4">
            <v>920.83</v>
          </cell>
          <cell r="L4">
            <v>3910.79</v>
          </cell>
          <cell r="M4">
            <v>52825.570000000007</v>
          </cell>
          <cell r="N4">
            <v>34825.94</v>
          </cell>
        </row>
        <row r="5">
          <cell r="D5" t="str">
            <v>AETNA HEALTH PLAN</v>
          </cell>
          <cell r="E5" t="str">
            <v>NEW A/R</v>
          </cell>
          <cell r="F5">
            <v>126447.42</v>
          </cell>
          <cell r="G5">
            <v>8599.14</v>
          </cell>
          <cell r="H5">
            <v>26705.79</v>
          </cell>
          <cell r="I5">
            <v>521</v>
          </cell>
          <cell r="J5">
            <v>940.93</v>
          </cell>
          <cell r="K5">
            <v>160</v>
          </cell>
          <cell r="L5">
            <v>-2086.87</v>
          </cell>
          <cell r="M5">
            <v>161287.41</v>
          </cell>
          <cell r="N5">
            <v>-464.94000000000005</v>
          </cell>
        </row>
        <row r="6">
          <cell r="D6" t="str">
            <v>AMERIGROUP MEDICAID</v>
          </cell>
          <cell r="E6" t="str">
            <v>NEW A/R</v>
          </cell>
          <cell r="F6">
            <v>73956.289999999994</v>
          </cell>
          <cell r="G6">
            <v>12142.01</v>
          </cell>
          <cell r="H6">
            <v>8846.51</v>
          </cell>
          <cell r="I6">
            <v>8112.46</v>
          </cell>
          <cell r="J6">
            <v>422.66</v>
          </cell>
          <cell r="K6">
            <v>-1381.76</v>
          </cell>
          <cell r="L6">
            <v>1414.59</v>
          </cell>
          <cell r="M6">
            <v>103512.76</v>
          </cell>
          <cell r="N6">
            <v>8567.9500000000007</v>
          </cell>
        </row>
        <row r="7">
          <cell r="D7" t="str">
            <v>AMERIGROUP MEDICAID APPEAL</v>
          </cell>
          <cell r="E7" t="str">
            <v>NEW A/R</v>
          </cell>
          <cell r="F7">
            <v>5856</v>
          </cell>
          <cell r="G7">
            <v>17568.36</v>
          </cell>
          <cell r="H7">
            <v>7145.27</v>
          </cell>
          <cell r="I7">
            <v>12775.47</v>
          </cell>
          <cell r="J7">
            <v>16902.189999999999</v>
          </cell>
          <cell r="K7">
            <v>16079.31</v>
          </cell>
          <cell r="L7">
            <v>44929.72</v>
          </cell>
          <cell r="M7">
            <v>121256.31999999999</v>
          </cell>
          <cell r="N7">
            <v>90686.69</v>
          </cell>
        </row>
        <row r="8">
          <cell r="D8" t="str">
            <v>ARGYLE COLLECTION</v>
          </cell>
          <cell r="E8" t="str">
            <v>NEW A/R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11256.03</v>
          </cell>
          <cell r="M8">
            <v>11256.03</v>
          </cell>
          <cell r="N8">
            <v>11256.03</v>
          </cell>
        </row>
        <row r="9">
          <cell r="D9" t="str">
            <v>BAD HOSP PLAN FOR TES</v>
          </cell>
          <cell r="E9" t="str">
            <v>NEW A/R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-328</v>
          </cell>
          <cell r="L9">
            <v>0</v>
          </cell>
          <cell r="M9">
            <v>-328</v>
          </cell>
          <cell r="N9">
            <v>-328</v>
          </cell>
        </row>
        <row r="10">
          <cell r="D10" t="str">
            <v>BC/BS - UH EMPLOYEES</v>
          </cell>
          <cell r="E10" t="str">
            <v>NEW A/R</v>
          </cell>
          <cell r="F10">
            <v>244576.5</v>
          </cell>
          <cell r="G10">
            <v>10795.25</v>
          </cell>
          <cell r="H10">
            <v>8727</v>
          </cell>
          <cell r="I10">
            <v>1274.52</v>
          </cell>
          <cell r="J10">
            <v>335.02</v>
          </cell>
          <cell r="K10">
            <v>100</v>
          </cell>
          <cell r="L10">
            <v>1779.77</v>
          </cell>
          <cell r="M10">
            <v>267588.06000000006</v>
          </cell>
          <cell r="N10">
            <v>3489.31</v>
          </cell>
        </row>
        <row r="11">
          <cell r="D11" t="str">
            <v>BC/BS APPEAL</v>
          </cell>
          <cell r="E11" t="str">
            <v>NEW A/R</v>
          </cell>
          <cell r="F11">
            <v>25277.09</v>
          </cell>
          <cell r="G11">
            <v>42119.81</v>
          </cell>
          <cell r="H11">
            <v>19313.14</v>
          </cell>
          <cell r="I11">
            <v>18933.62</v>
          </cell>
          <cell r="J11">
            <v>11615.74</v>
          </cell>
          <cell r="K11">
            <v>8129.51</v>
          </cell>
          <cell r="L11">
            <v>52129.42</v>
          </cell>
          <cell r="M11">
            <v>177518.33</v>
          </cell>
          <cell r="N11">
            <v>90808.290000000008</v>
          </cell>
        </row>
        <row r="12">
          <cell r="D12" t="str">
            <v>BC/BS APPEAL - UH EMPLOYEES</v>
          </cell>
          <cell r="E12" t="str">
            <v>NEW A/R</v>
          </cell>
          <cell r="F12">
            <v>4121</v>
          </cell>
          <cell r="G12">
            <v>4917.58</v>
          </cell>
          <cell r="H12">
            <v>5185</v>
          </cell>
          <cell r="I12">
            <v>2921</v>
          </cell>
          <cell r="J12">
            <v>792</v>
          </cell>
          <cell r="K12">
            <v>68</v>
          </cell>
          <cell r="L12">
            <v>804.77</v>
          </cell>
          <cell r="M12">
            <v>18809.350000000002</v>
          </cell>
          <cell r="N12">
            <v>4585.7700000000004</v>
          </cell>
        </row>
        <row r="13">
          <cell r="D13" t="str">
            <v>BC/BS HOUSESTAFF APPEAL</v>
          </cell>
          <cell r="E13" t="str">
            <v>NEW A/R</v>
          </cell>
          <cell r="F13">
            <v>0</v>
          </cell>
          <cell r="G13">
            <v>0</v>
          </cell>
          <cell r="H13">
            <v>174.58</v>
          </cell>
          <cell r="I13">
            <v>0</v>
          </cell>
          <cell r="J13">
            <v>0</v>
          </cell>
          <cell r="K13">
            <v>0</v>
          </cell>
          <cell r="L13">
            <v>500.16</v>
          </cell>
          <cell r="M13">
            <v>674.74</v>
          </cell>
          <cell r="N13">
            <v>500.16</v>
          </cell>
        </row>
        <row r="14">
          <cell r="D14" t="str">
            <v>BC/BS HOUSESTAFF HMO/PPO</v>
          </cell>
          <cell r="E14" t="str">
            <v>NEW A/R</v>
          </cell>
          <cell r="F14">
            <v>74310.33</v>
          </cell>
          <cell r="G14">
            <v>13261.86</v>
          </cell>
          <cell r="H14">
            <v>3837.97</v>
          </cell>
          <cell r="I14">
            <v>727.72</v>
          </cell>
          <cell r="J14">
            <v>-2.68</v>
          </cell>
          <cell r="K14">
            <v>-63.63</v>
          </cell>
          <cell r="L14">
            <v>862.86</v>
          </cell>
          <cell r="M14">
            <v>92934.430000000008</v>
          </cell>
          <cell r="N14">
            <v>1524.27</v>
          </cell>
        </row>
        <row r="15">
          <cell r="D15" t="str">
            <v>BC/BS OF NEW MEXICO</v>
          </cell>
          <cell r="E15" t="str">
            <v>NEW A/R</v>
          </cell>
          <cell r="F15">
            <v>715513.13</v>
          </cell>
          <cell r="G15">
            <v>56729.91</v>
          </cell>
          <cell r="H15">
            <v>26385.11</v>
          </cell>
          <cell r="I15">
            <v>19520.36</v>
          </cell>
          <cell r="J15">
            <v>2791.38</v>
          </cell>
          <cell r="K15">
            <v>2744.42</v>
          </cell>
          <cell r="L15">
            <v>-4171.17</v>
          </cell>
          <cell r="M15">
            <v>819513.14</v>
          </cell>
          <cell r="N15">
            <v>20884.990000000005</v>
          </cell>
        </row>
        <row r="16">
          <cell r="D16" t="str">
            <v>BC/BS OUT OF STATE</v>
          </cell>
          <cell r="E16" t="str">
            <v>NEW A/R</v>
          </cell>
          <cell r="F16">
            <v>370208.46</v>
          </cell>
          <cell r="G16">
            <v>17528.09</v>
          </cell>
          <cell r="H16">
            <v>8048.62</v>
          </cell>
          <cell r="I16">
            <v>12674.16</v>
          </cell>
          <cell r="J16">
            <v>773.74</v>
          </cell>
          <cell r="K16">
            <v>1484.18</v>
          </cell>
          <cell r="L16">
            <v>-644.66999999999996</v>
          </cell>
          <cell r="M16">
            <v>410072.58</v>
          </cell>
          <cell r="N16">
            <v>14287.41</v>
          </cell>
        </row>
        <row r="17">
          <cell r="D17" t="str">
            <v>BC/BS OUT OF STATE APPEAL</v>
          </cell>
          <cell r="E17" t="str">
            <v>NEW A/R</v>
          </cell>
          <cell r="F17">
            <v>8560.48</v>
          </cell>
          <cell r="G17">
            <v>13056.33</v>
          </cell>
          <cell r="H17">
            <v>8165.76</v>
          </cell>
          <cell r="I17">
            <v>15741.62</v>
          </cell>
          <cell r="J17">
            <v>16994.98</v>
          </cell>
          <cell r="K17">
            <v>5821.51</v>
          </cell>
          <cell r="L17">
            <v>72490.58</v>
          </cell>
          <cell r="M17">
            <v>140831.26</v>
          </cell>
          <cell r="N17">
            <v>111048.69</v>
          </cell>
        </row>
        <row r="18">
          <cell r="D18" t="str">
            <v>BLUE CROSS RECOUPS</v>
          </cell>
          <cell r="E18" t="str">
            <v>NEW A/R</v>
          </cell>
          <cell r="F18">
            <v>0</v>
          </cell>
          <cell r="G18">
            <v>0</v>
          </cell>
          <cell r="H18">
            <v>0</v>
          </cell>
          <cell r="I18">
            <v>93.86</v>
          </cell>
          <cell r="J18">
            <v>1081</v>
          </cell>
          <cell r="K18">
            <v>183</v>
          </cell>
          <cell r="L18">
            <v>-181.97</v>
          </cell>
          <cell r="M18">
            <v>1175.8899999999999</v>
          </cell>
          <cell r="N18">
            <v>1175.8899999999999</v>
          </cell>
        </row>
        <row r="19">
          <cell r="D19" t="str">
            <v>BLUE CROSS SALUD</v>
          </cell>
          <cell r="E19" t="str">
            <v>NEW A/R</v>
          </cell>
          <cell r="F19">
            <v>130615.47</v>
          </cell>
          <cell r="G19">
            <v>783.41</v>
          </cell>
          <cell r="H19">
            <v>2254.88</v>
          </cell>
          <cell r="I19">
            <v>1091.71</v>
          </cell>
          <cell r="J19">
            <v>2671.91</v>
          </cell>
          <cell r="K19">
            <v>0</v>
          </cell>
          <cell r="L19">
            <v>1174.3499999999999</v>
          </cell>
          <cell r="M19">
            <v>138591.73000000001</v>
          </cell>
          <cell r="N19">
            <v>4937.9699999999993</v>
          </cell>
        </row>
        <row r="20">
          <cell r="D20" t="str">
            <v>BLUE CROSS SALUD APPEAL</v>
          </cell>
          <cell r="E20" t="str">
            <v>NEW A/R</v>
          </cell>
          <cell r="F20">
            <v>2932</v>
          </cell>
          <cell r="G20">
            <v>576</v>
          </cell>
          <cell r="H20">
            <v>566</v>
          </cell>
          <cell r="I20">
            <v>1168</v>
          </cell>
          <cell r="J20">
            <v>634</v>
          </cell>
          <cell r="K20">
            <v>0</v>
          </cell>
          <cell r="L20">
            <v>270</v>
          </cell>
          <cell r="M20">
            <v>6146</v>
          </cell>
          <cell r="N20">
            <v>2072</v>
          </cell>
        </row>
        <row r="21">
          <cell r="D21" t="str">
            <v>BLUE CROSS SCI</v>
          </cell>
          <cell r="E21" t="str">
            <v>NEW A/R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 t="str">
            <v>BLUE MEDICARE PPO</v>
          </cell>
          <cell r="E22" t="str">
            <v>NEW A/R</v>
          </cell>
          <cell r="F22">
            <v>5066</v>
          </cell>
          <cell r="G22">
            <v>883</v>
          </cell>
          <cell r="H22">
            <v>2258</v>
          </cell>
          <cell r="I22">
            <v>448</v>
          </cell>
          <cell r="J22">
            <v>407</v>
          </cell>
          <cell r="K22">
            <v>0</v>
          </cell>
          <cell r="L22">
            <v>203</v>
          </cell>
          <cell r="M22">
            <v>9265</v>
          </cell>
          <cell r="N22">
            <v>1058</v>
          </cell>
        </row>
        <row r="23">
          <cell r="D23" t="str">
            <v>BLUE MEDICARE PPO APPEAL</v>
          </cell>
          <cell r="E23" t="str">
            <v>NEW A/R</v>
          </cell>
          <cell r="F23">
            <v>0</v>
          </cell>
          <cell r="G23">
            <v>0</v>
          </cell>
          <cell r="H23">
            <v>2091</v>
          </cell>
          <cell r="I23">
            <v>850</v>
          </cell>
          <cell r="J23">
            <v>0</v>
          </cell>
          <cell r="K23">
            <v>0</v>
          </cell>
          <cell r="L23">
            <v>2065.5</v>
          </cell>
          <cell r="M23">
            <v>5006.5</v>
          </cell>
          <cell r="N23">
            <v>2915.5</v>
          </cell>
        </row>
        <row r="24">
          <cell r="D24" t="str">
            <v>BREAST &amp; CERV CANCER PRGM-CDC</v>
          </cell>
          <cell r="E24" t="str">
            <v>NEW A/R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388</v>
          </cell>
          <cell r="M24">
            <v>388</v>
          </cell>
          <cell r="N24">
            <v>388</v>
          </cell>
        </row>
        <row r="25">
          <cell r="D25" t="str">
            <v>BUDGET PLAN ACCTS</v>
          </cell>
          <cell r="E25" t="str">
            <v>NEW A/R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20</v>
          </cell>
          <cell r="M25">
            <v>20</v>
          </cell>
          <cell r="N25">
            <v>20</v>
          </cell>
        </row>
        <row r="26">
          <cell r="D26" t="str">
            <v>CANCELLED FROM NCO</v>
          </cell>
          <cell r="E26" t="str">
            <v>NEW A/R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 t="str">
            <v>CANCELLED FROM NRS</v>
          </cell>
          <cell r="E27" t="str">
            <v>NEW A/R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 t="str">
            <v>CANCELLED FROM OSI</v>
          </cell>
          <cell r="E28" t="str">
            <v>NEW A/R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CHILDRENS MEDICAL SERVICE</v>
          </cell>
          <cell r="E29" t="str">
            <v>NEW A/R</v>
          </cell>
          <cell r="F29">
            <v>12330.71</v>
          </cell>
          <cell r="G29">
            <v>1407.59</v>
          </cell>
          <cell r="H29">
            <v>2129.33</v>
          </cell>
          <cell r="I29">
            <v>1180.57</v>
          </cell>
          <cell r="J29">
            <v>2286.66</v>
          </cell>
          <cell r="K29">
            <v>921.77</v>
          </cell>
          <cell r="L29">
            <v>1360.16</v>
          </cell>
          <cell r="M29">
            <v>21616.79</v>
          </cell>
          <cell r="N29">
            <v>5749.16</v>
          </cell>
        </row>
        <row r="30">
          <cell r="D30" t="str">
            <v>CHILDRENS MEDICAL SVC APPEAL</v>
          </cell>
          <cell r="E30" t="str">
            <v>NEW A/R</v>
          </cell>
          <cell r="F30">
            <v>879</v>
          </cell>
          <cell r="G30">
            <v>936</v>
          </cell>
          <cell r="H30">
            <v>3208.67</v>
          </cell>
          <cell r="I30">
            <v>1127.8</v>
          </cell>
          <cell r="J30">
            <v>1076.57</v>
          </cell>
          <cell r="K30">
            <v>1081.72</v>
          </cell>
          <cell r="L30">
            <v>2143.17</v>
          </cell>
          <cell r="M30">
            <v>10452.93</v>
          </cell>
          <cell r="N30">
            <v>5429.26</v>
          </cell>
        </row>
        <row r="31">
          <cell r="D31" t="str">
            <v>CIGNA HEALTH PLAN</v>
          </cell>
          <cell r="E31" t="str">
            <v>NEW A/R</v>
          </cell>
          <cell r="F31">
            <v>136249.20000000001</v>
          </cell>
          <cell r="G31">
            <v>21299.1</v>
          </cell>
          <cell r="H31">
            <v>16377.21</v>
          </cell>
          <cell r="I31">
            <v>3144.23</v>
          </cell>
          <cell r="J31">
            <v>768.25</v>
          </cell>
          <cell r="K31">
            <v>5909.46</v>
          </cell>
          <cell r="L31">
            <v>-5294.15</v>
          </cell>
          <cell r="M31">
            <v>178453.30000000002</v>
          </cell>
          <cell r="N31">
            <v>4527.7900000000009</v>
          </cell>
        </row>
        <row r="32">
          <cell r="D32" t="str">
            <v>CIGNA HEALTH PLAN APPEAL</v>
          </cell>
          <cell r="E32" t="str">
            <v>NEW A/R</v>
          </cell>
          <cell r="F32">
            <v>4058</v>
          </cell>
          <cell r="G32">
            <v>10278.540000000001</v>
          </cell>
          <cell r="H32">
            <v>14612.49</v>
          </cell>
          <cell r="I32">
            <v>14416.34</v>
          </cell>
          <cell r="J32">
            <v>3122</v>
          </cell>
          <cell r="K32">
            <v>1942.36</v>
          </cell>
          <cell r="L32">
            <v>1775.12</v>
          </cell>
          <cell r="M32">
            <v>50204.85</v>
          </cell>
          <cell r="N32">
            <v>21255.82</v>
          </cell>
        </row>
        <row r="33">
          <cell r="D33" t="str">
            <v>CIMARRON HEALTH PLAN</v>
          </cell>
          <cell r="E33" t="str">
            <v>NEW A/R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-40.42</v>
          </cell>
          <cell r="M33">
            <v>-40.42</v>
          </cell>
          <cell r="N33">
            <v>-40.42</v>
          </cell>
        </row>
        <row r="34">
          <cell r="D34" t="str">
            <v>COLLECTION, EQUIFAX</v>
          </cell>
          <cell r="E34" t="str">
            <v>NEW A/R</v>
          </cell>
          <cell r="F34">
            <v>0</v>
          </cell>
          <cell r="G34">
            <v>0</v>
          </cell>
          <cell r="H34">
            <v>-10</v>
          </cell>
          <cell r="I34">
            <v>0</v>
          </cell>
          <cell r="J34">
            <v>0</v>
          </cell>
          <cell r="K34">
            <v>0</v>
          </cell>
          <cell r="L34">
            <v>-855.86</v>
          </cell>
          <cell r="M34">
            <v>-865.86</v>
          </cell>
          <cell r="N34">
            <v>-855.86</v>
          </cell>
        </row>
        <row r="35">
          <cell r="D35" t="str">
            <v>COMMISSION FOR THE BLIND</v>
          </cell>
          <cell r="E35" t="str">
            <v>NEW A/R</v>
          </cell>
          <cell r="F35">
            <v>13065</v>
          </cell>
          <cell r="G35">
            <v>216</v>
          </cell>
          <cell r="H35">
            <v>4529</v>
          </cell>
          <cell r="I35">
            <v>2527</v>
          </cell>
          <cell r="J35">
            <v>1105</v>
          </cell>
          <cell r="K35">
            <v>0</v>
          </cell>
          <cell r="L35">
            <v>5705</v>
          </cell>
          <cell r="M35">
            <v>27147</v>
          </cell>
          <cell r="N35">
            <v>9337</v>
          </cell>
        </row>
        <row r="36">
          <cell r="D36" t="str">
            <v>CREDIT LETTER SENT</v>
          </cell>
          <cell r="E36" t="str">
            <v>NEW A/R</v>
          </cell>
          <cell r="F36">
            <v>33268.400000000001</v>
          </cell>
          <cell r="G36">
            <v>71738.23</v>
          </cell>
          <cell r="H36">
            <v>396943.84</v>
          </cell>
          <cell r="I36">
            <v>346417.12</v>
          </cell>
          <cell r="J36">
            <v>108819.08</v>
          </cell>
          <cell r="K36">
            <v>33468.14</v>
          </cell>
          <cell r="L36">
            <v>45139.87</v>
          </cell>
          <cell r="M36">
            <v>1035794.68</v>
          </cell>
          <cell r="N36">
            <v>533844.21000000008</v>
          </cell>
        </row>
        <row r="37">
          <cell r="D37" t="str">
            <v>CRIME VICTIMS</v>
          </cell>
          <cell r="E37" t="str">
            <v>NEW A/R</v>
          </cell>
          <cell r="F37">
            <v>0</v>
          </cell>
          <cell r="G37">
            <v>20</v>
          </cell>
          <cell r="H37">
            <v>229</v>
          </cell>
          <cell r="I37">
            <v>25</v>
          </cell>
          <cell r="J37">
            <v>50</v>
          </cell>
          <cell r="K37">
            <v>274</v>
          </cell>
          <cell r="L37">
            <v>26057.58</v>
          </cell>
          <cell r="M37">
            <v>26655.58</v>
          </cell>
          <cell r="N37">
            <v>26406.58</v>
          </cell>
        </row>
        <row r="38">
          <cell r="D38" t="str">
            <v>DELETE FROM QUEUE-TEMPORARY FSC</v>
          </cell>
          <cell r="E38" t="str">
            <v>NEW A/R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1658</v>
          </cell>
          <cell r="M38">
            <v>1658</v>
          </cell>
          <cell r="N38">
            <v>1658</v>
          </cell>
        </row>
        <row r="39">
          <cell r="D39" t="str">
            <v>DO NOT BILL</v>
          </cell>
          <cell r="E39" t="str">
            <v>NEW A/R</v>
          </cell>
          <cell r="F39">
            <v>-7938.69</v>
          </cell>
          <cell r="G39">
            <v>5904.64</v>
          </cell>
          <cell r="H39">
            <v>-2016.76</v>
          </cell>
          <cell r="I39">
            <v>-1464.53</v>
          </cell>
          <cell r="J39">
            <v>-839.13</v>
          </cell>
          <cell r="K39">
            <v>-4550.17</v>
          </cell>
          <cell r="L39">
            <v>2322.56</v>
          </cell>
          <cell r="M39">
            <v>-8582.08</v>
          </cell>
          <cell r="N39">
            <v>-4531.2700000000004</v>
          </cell>
        </row>
        <row r="40">
          <cell r="D40" t="str">
            <v>ELIGIBILITY</v>
          </cell>
          <cell r="E40" t="str">
            <v>NEW A/R</v>
          </cell>
          <cell r="F40">
            <v>128032</v>
          </cell>
          <cell r="G40">
            <v>91877.61</v>
          </cell>
          <cell r="H40">
            <v>19869.68</v>
          </cell>
          <cell r="I40">
            <v>25302.85</v>
          </cell>
          <cell r="J40">
            <v>4752.84</v>
          </cell>
          <cell r="K40">
            <v>789.41</v>
          </cell>
          <cell r="L40">
            <v>10446.48</v>
          </cell>
          <cell r="M40">
            <v>281070.86999999994</v>
          </cell>
          <cell r="N40">
            <v>41291.58</v>
          </cell>
        </row>
        <row r="41">
          <cell r="D41" t="str">
            <v>EVERCARE MEDICAID</v>
          </cell>
          <cell r="E41" t="str">
            <v>NEW A/R</v>
          </cell>
          <cell r="F41">
            <v>85861.23</v>
          </cell>
          <cell r="G41">
            <v>21967.3</v>
          </cell>
          <cell r="H41">
            <v>3107.09</v>
          </cell>
          <cell r="I41">
            <v>-495.26</v>
          </cell>
          <cell r="J41">
            <v>275.43</v>
          </cell>
          <cell r="K41">
            <v>848.66</v>
          </cell>
          <cell r="L41">
            <v>-5361.24</v>
          </cell>
          <cell r="M41">
            <v>106203.20999999999</v>
          </cell>
          <cell r="N41">
            <v>-4732.41</v>
          </cell>
        </row>
        <row r="42">
          <cell r="D42" t="str">
            <v>EVERCARE MEDICAID APPEAL</v>
          </cell>
          <cell r="E42" t="str">
            <v>NEW A/R</v>
          </cell>
          <cell r="F42">
            <v>2197</v>
          </cell>
          <cell r="G42">
            <v>3322.5</v>
          </cell>
          <cell r="H42">
            <v>5155.25</v>
          </cell>
          <cell r="I42">
            <v>5187.6099999999997</v>
          </cell>
          <cell r="J42">
            <v>6493.39</v>
          </cell>
          <cell r="K42">
            <v>2030.82</v>
          </cell>
          <cell r="L42">
            <v>20151.72</v>
          </cell>
          <cell r="M42">
            <v>44538.29</v>
          </cell>
          <cell r="N42">
            <v>33863.54</v>
          </cell>
        </row>
        <row r="43">
          <cell r="D43" t="str">
            <v>EXTENDED BUSINESS OFFICE</v>
          </cell>
          <cell r="E43" t="str">
            <v>NEW A/R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-1576.91</v>
          </cell>
          <cell r="M43">
            <v>-1576.91</v>
          </cell>
          <cell r="N43">
            <v>-1576.91</v>
          </cell>
        </row>
        <row r="44">
          <cell r="D44" t="str">
            <v>FINANCIAL ASSISTANCE PROGRAM</v>
          </cell>
          <cell r="E44" t="str">
            <v>NEW A/R</v>
          </cell>
          <cell r="F44">
            <v>119834.78</v>
          </cell>
          <cell r="G44">
            <v>84275.93</v>
          </cell>
          <cell r="H44">
            <v>58055.65</v>
          </cell>
          <cell r="I44">
            <v>11561.83</v>
          </cell>
          <cell r="J44">
            <v>72.25</v>
          </cell>
          <cell r="K44">
            <v>0</v>
          </cell>
          <cell r="L44">
            <v>-176.15</v>
          </cell>
          <cell r="M44">
            <v>273624.28999999998</v>
          </cell>
          <cell r="N44">
            <v>11457.93</v>
          </cell>
        </row>
        <row r="45">
          <cell r="D45" t="str">
            <v>FREE SERVICE BERNALILLO COUNTY</v>
          </cell>
          <cell r="E45" t="str">
            <v>NEW A/R</v>
          </cell>
          <cell r="F45">
            <v>283</v>
          </cell>
          <cell r="G45">
            <v>0</v>
          </cell>
          <cell r="H45">
            <v>1764</v>
          </cell>
          <cell r="I45">
            <v>1485</v>
          </cell>
          <cell r="J45">
            <v>0</v>
          </cell>
          <cell r="K45">
            <v>0</v>
          </cell>
          <cell r="L45">
            <v>-35.92</v>
          </cell>
          <cell r="M45">
            <v>3496.08</v>
          </cell>
          <cell r="N45">
            <v>1449.08</v>
          </cell>
        </row>
        <row r="46">
          <cell r="D46" t="str">
            <v>FREE SERVICE, OUT OF COUNTY INDIGENT</v>
          </cell>
          <cell r="E46" t="str">
            <v>NEW A/R</v>
          </cell>
          <cell r="F46">
            <v>31151.85</v>
          </cell>
          <cell r="G46">
            <v>6950.51</v>
          </cell>
          <cell r="H46">
            <v>9837</v>
          </cell>
          <cell r="I46">
            <v>0</v>
          </cell>
          <cell r="J46">
            <v>441</v>
          </cell>
          <cell r="K46">
            <v>170</v>
          </cell>
          <cell r="L46">
            <v>1699.35</v>
          </cell>
          <cell r="M46">
            <v>50249.71</v>
          </cell>
          <cell r="N46">
            <v>2310.35</v>
          </cell>
        </row>
        <row r="47">
          <cell r="D47" t="str">
            <v>GEHA APPEAL</v>
          </cell>
          <cell r="E47" t="str">
            <v>NEW A/R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 t="str">
            <v>GEHA/ COMM'L INS</v>
          </cell>
          <cell r="E48" t="str">
            <v>NEW A/R</v>
          </cell>
          <cell r="F48">
            <v>6331.11</v>
          </cell>
          <cell r="G48">
            <v>821</v>
          </cell>
          <cell r="H48">
            <v>485.86</v>
          </cell>
          <cell r="I48">
            <v>10.71</v>
          </cell>
          <cell r="J48">
            <v>-41.25</v>
          </cell>
          <cell r="K48">
            <v>-96.8</v>
          </cell>
          <cell r="L48">
            <v>-198.87</v>
          </cell>
          <cell r="M48">
            <v>7311.7599999999993</v>
          </cell>
          <cell r="N48">
            <v>-326.21000000000004</v>
          </cell>
        </row>
        <row r="49">
          <cell r="D49" t="str">
            <v>GREAT WEST</v>
          </cell>
          <cell r="E49" t="str">
            <v>NEW A/R</v>
          </cell>
          <cell r="F49">
            <v>2603</v>
          </cell>
          <cell r="G49">
            <v>11135</v>
          </cell>
          <cell r="H49">
            <v>24727.65</v>
          </cell>
          <cell r="I49">
            <v>2308</v>
          </cell>
          <cell r="J49">
            <v>0</v>
          </cell>
          <cell r="K49">
            <v>0</v>
          </cell>
          <cell r="L49">
            <v>0</v>
          </cell>
          <cell r="M49">
            <v>40773.65</v>
          </cell>
          <cell r="N49">
            <v>2308</v>
          </cell>
        </row>
        <row r="50">
          <cell r="D50" t="str">
            <v>GREAT WEST APPEAL</v>
          </cell>
          <cell r="E50" t="str">
            <v>NEW A/R</v>
          </cell>
          <cell r="F50">
            <v>0</v>
          </cell>
          <cell r="G50">
            <v>1544.2</v>
          </cell>
          <cell r="H50">
            <v>0</v>
          </cell>
          <cell r="I50">
            <v>96</v>
          </cell>
          <cell r="J50">
            <v>0</v>
          </cell>
          <cell r="K50">
            <v>0</v>
          </cell>
          <cell r="L50">
            <v>0</v>
          </cell>
          <cell r="M50">
            <v>1640.2</v>
          </cell>
          <cell r="N50">
            <v>96</v>
          </cell>
        </row>
        <row r="51">
          <cell r="D51" t="str">
            <v>HCH ADMINISTRATORS APPEAL</v>
          </cell>
          <cell r="E51" t="str">
            <v>NEW A/R</v>
          </cell>
          <cell r="F51">
            <v>45</v>
          </cell>
          <cell r="G51">
            <v>3493</v>
          </cell>
          <cell r="H51">
            <v>0</v>
          </cell>
          <cell r="I51">
            <v>179</v>
          </cell>
          <cell r="J51">
            <v>0</v>
          </cell>
          <cell r="K51">
            <v>0</v>
          </cell>
          <cell r="L51">
            <v>189</v>
          </cell>
          <cell r="M51">
            <v>3906</v>
          </cell>
          <cell r="N51">
            <v>368</v>
          </cell>
        </row>
        <row r="52">
          <cell r="D52" t="str">
            <v>HCH ADMINISTRATORS/CIMARRON ADVANTAGE</v>
          </cell>
          <cell r="E52" t="str">
            <v>NEW A/R</v>
          </cell>
          <cell r="F52">
            <v>42020.32</v>
          </cell>
          <cell r="G52">
            <v>553.77</v>
          </cell>
          <cell r="H52">
            <v>369.25</v>
          </cell>
          <cell r="I52">
            <v>0</v>
          </cell>
          <cell r="J52">
            <v>0</v>
          </cell>
          <cell r="K52">
            <v>0</v>
          </cell>
          <cell r="L52">
            <v>-506.2</v>
          </cell>
          <cell r="M52">
            <v>42437.14</v>
          </cell>
          <cell r="N52">
            <v>-506.2</v>
          </cell>
        </row>
        <row r="53">
          <cell r="D53" t="str">
            <v>HIGH RISK PRE-NATAL</v>
          </cell>
          <cell r="E53" t="str">
            <v>NEW A/R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-150</v>
          </cell>
          <cell r="M53">
            <v>-150</v>
          </cell>
          <cell r="N53">
            <v>-150</v>
          </cell>
        </row>
        <row r="54">
          <cell r="D54" t="str">
            <v>HMO NM-APPEAL</v>
          </cell>
          <cell r="E54" t="str">
            <v>NEW A/R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151.21</v>
          </cell>
          <cell r="M54">
            <v>151.21</v>
          </cell>
          <cell r="N54">
            <v>151.21</v>
          </cell>
        </row>
        <row r="55">
          <cell r="D55" t="str">
            <v>HMO, NEW MEXICO</v>
          </cell>
          <cell r="E55" t="str">
            <v>NEW A/R</v>
          </cell>
          <cell r="F55">
            <v>1818</v>
          </cell>
          <cell r="G55">
            <v>196</v>
          </cell>
          <cell r="H55">
            <v>-255.97</v>
          </cell>
          <cell r="I55">
            <v>0</v>
          </cell>
          <cell r="J55">
            <v>0</v>
          </cell>
          <cell r="K55">
            <v>97</v>
          </cell>
          <cell r="L55">
            <v>-164.83</v>
          </cell>
          <cell r="M55">
            <v>1690.2</v>
          </cell>
          <cell r="N55">
            <v>-67.830000000000013</v>
          </cell>
        </row>
        <row r="56">
          <cell r="D56" t="str">
            <v>HUMANA CHOICE CARE</v>
          </cell>
          <cell r="E56" t="str">
            <v>NEW A/R</v>
          </cell>
          <cell r="F56">
            <v>7704</v>
          </cell>
          <cell r="G56">
            <v>45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7749</v>
          </cell>
          <cell r="N56">
            <v>0</v>
          </cell>
        </row>
        <row r="57">
          <cell r="D57" t="str">
            <v>IHS/PHS APPEAL FSC</v>
          </cell>
          <cell r="E57" t="str">
            <v>NEW A/R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7591.67</v>
          </cell>
          <cell r="M57">
            <v>7591.67</v>
          </cell>
          <cell r="N57">
            <v>7591.67</v>
          </cell>
        </row>
        <row r="58">
          <cell r="D58" t="str">
            <v>IHS/PHS FILED</v>
          </cell>
          <cell r="E58" t="str">
            <v>NEW A/R</v>
          </cell>
          <cell r="F58">
            <v>1728.67</v>
          </cell>
          <cell r="G58">
            <v>7195.06</v>
          </cell>
          <cell r="H58">
            <v>59827.18</v>
          </cell>
          <cell r="I58">
            <v>182177.96</v>
          </cell>
          <cell r="J58">
            <v>57217.34</v>
          </cell>
          <cell r="K58">
            <v>63721.3</v>
          </cell>
          <cell r="L58">
            <v>153585.73000000001</v>
          </cell>
          <cell r="M58">
            <v>525453.24</v>
          </cell>
          <cell r="N58">
            <v>456702.32999999996</v>
          </cell>
        </row>
        <row r="59">
          <cell r="D59" t="str">
            <v>IHS/PHS NO PO</v>
          </cell>
          <cell r="E59" t="str">
            <v>NEW A/R</v>
          </cell>
          <cell r="F59">
            <v>351636.55</v>
          </cell>
          <cell r="G59">
            <v>291881.88</v>
          </cell>
          <cell r="H59">
            <v>151849.35999999999</v>
          </cell>
          <cell r="I59">
            <v>41447.82</v>
          </cell>
          <cell r="J59">
            <v>17539.7</v>
          </cell>
          <cell r="K59">
            <v>2416.54</v>
          </cell>
          <cell r="L59">
            <v>5552.89</v>
          </cell>
          <cell r="M59">
            <v>862324.73999999987</v>
          </cell>
          <cell r="N59">
            <v>66956.950000000012</v>
          </cell>
        </row>
        <row r="60">
          <cell r="D60" t="str">
            <v>INSURANCE APPEAL FSC</v>
          </cell>
          <cell r="E60" t="str">
            <v>NEW A/R</v>
          </cell>
          <cell r="F60">
            <v>7436.48</v>
          </cell>
          <cell r="G60">
            <v>11965.19</v>
          </cell>
          <cell r="H60">
            <v>29046.880000000001</v>
          </cell>
          <cell r="I60">
            <v>30775.75</v>
          </cell>
          <cell r="J60">
            <v>13468.72</v>
          </cell>
          <cell r="K60">
            <v>44664.15</v>
          </cell>
          <cell r="L60">
            <v>45604.54</v>
          </cell>
          <cell r="M60">
            <v>182961.71000000002</v>
          </cell>
          <cell r="N60">
            <v>134513.16</v>
          </cell>
        </row>
        <row r="61">
          <cell r="D61" t="str">
            <v>JUVENILE JUSTICE SYSTEM</v>
          </cell>
          <cell r="E61" t="str">
            <v>NEW A/R</v>
          </cell>
          <cell r="F61">
            <v>2449</v>
          </cell>
          <cell r="G61">
            <v>12580.8</v>
          </cell>
          <cell r="H61">
            <v>3167.52</v>
          </cell>
          <cell r="I61">
            <v>1675</v>
          </cell>
          <cell r="J61">
            <v>20</v>
          </cell>
          <cell r="K61">
            <v>-376</v>
          </cell>
          <cell r="L61">
            <v>-497</v>
          </cell>
          <cell r="M61">
            <v>19019.32</v>
          </cell>
          <cell r="N61">
            <v>822</v>
          </cell>
        </row>
        <row r="62">
          <cell r="D62" t="str">
            <v>KIDNEY ACQUISITION</v>
          </cell>
          <cell r="E62" t="str">
            <v>NEW A/R</v>
          </cell>
          <cell r="F62">
            <v>22490</v>
          </cell>
          <cell r="G62">
            <v>19634</v>
          </cell>
          <cell r="H62">
            <v>1802</v>
          </cell>
          <cell r="I62">
            <v>488</v>
          </cell>
          <cell r="J62">
            <v>0</v>
          </cell>
          <cell r="K62">
            <v>3648</v>
          </cell>
          <cell r="L62">
            <v>5374</v>
          </cell>
          <cell r="M62">
            <v>53436</v>
          </cell>
          <cell r="N62">
            <v>9510</v>
          </cell>
        </row>
        <row r="63">
          <cell r="D63" t="str">
            <v>LEGAL</v>
          </cell>
          <cell r="E63" t="str">
            <v>NEW A/R</v>
          </cell>
          <cell r="F63">
            <v>0</v>
          </cell>
          <cell r="G63">
            <v>283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1122.8900000000001</v>
          </cell>
          <cell r="M63">
            <v>1405.89</v>
          </cell>
          <cell r="N63">
            <v>1122.8900000000001</v>
          </cell>
        </row>
        <row r="64">
          <cell r="D64" t="str">
            <v>LOVELACE H/P-APPEAL</v>
          </cell>
          <cell r="E64" t="str">
            <v>NEW A/R</v>
          </cell>
          <cell r="F64">
            <v>5722</v>
          </cell>
          <cell r="G64">
            <v>12721</v>
          </cell>
          <cell r="H64">
            <v>6813</v>
          </cell>
          <cell r="I64">
            <v>5381.68</v>
          </cell>
          <cell r="J64">
            <v>1424.13</v>
          </cell>
          <cell r="K64">
            <v>730.71</v>
          </cell>
          <cell r="L64">
            <v>11104.34</v>
          </cell>
          <cell r="M64">
            <v>43896.86</v>
          </cell>
          <cell r="N64">
            <v>18640.86</v>
          </cell>
        </row>
        <row r="65">
          <cell r="D65" t="str">
            <v>LOVELACE HEALTH PLAN HMO/PPO</v>
          </cell>
          <cell r="E65" t="str">
            <v>NEW A/R</v>
          </cell>
          <cell r="F65">
            <v>388370.48</v>
          </cell>
          <cell r="G65">
            <v>13486.59</v>
          </cell>
          <cell r="H65">
            <v>7538.18</v>
          </cell>
          <cell r="I65">
            <v>6055.16</v>
          </cell>
          <cell r="J65">
            <v>1753.92</v>
          </cell>
          <cell r="K65">
            <v>145.72</v>
          </cell>
          <cell r="L65">
            <v>514.84</v>
          </cell>
          <cell r="M65">
            <v>417864.88999999996</v>
          </cell>
          <cell r="N65">
            <v>8469.64</v>
          </cell>
        </row>
        <row r="66">
          <cell r="D66" t="str">
            <v>LOVELACE INS APPEAL-UNM EMP</v>
          </cell>
          <cell r="E66" t="str">
            <v>NEW A/R</v>
          </cell>
          <cell r="F66">
            <v>22</v>
          </cell>
          <cell r="G66">
            <v>610</v>
          </cell>
          <cell r="H66">
            <v>662</v>
          </cell>
          <cell r="I66">
            <v>423</v>
          </cell>
          <cell r="J66">
            <v>-140</v>
          </cell>
          <cell r="K66">
            <v>416</v>
          </cell>
          <cell r="L66">
            <v>3409.6</v>
          </cell>
          <cell r="M66">
            <v>5402.6</v>
          </cell>
          <cell r="N66">
            <v>4108.6000000000004</v>
          </cell>
        </row>
        <row r="67">
          <cell r="D67" t="str">
            <v>LOVELACE INSURANCE-UNM EMP</v>
          </cell>
          <cell r="E67" t="str">
            <v>NEW A/R</v>
          </cell>
          <cell r="F67">
            <v>321913</v>
          </cell>
          <cell r="G67">
            <v>22362.959999999999</v>
          </cell>
          <cell r="H67">
            <v>5403.19</v>
          </cell>
          <cell r="I67">
            <v>573.53</v>
          </cell>
          <cell r="J67">
            <v>3045</v>
          </cell>
          <cell r="K67">
            <v>1998.48</v>
          </cell>
          <cell r="L67">
            <v>10671.23</v>
          </cell>
          <cell r="M67">
            <v>365967.39</v>
          </cell>
          <cell r="N67">
            <v>16288.24</v>
          </cell>
        </row>
        <row r="68">
          <cell r="D68" t="str">
            <v>LOVELACE RECOUPS</v>
          </cell>
          <cell r="E68" t="str">
            <v>NEW A/R</v>
          </cell>
          <cell r="F68">
            <v>1778.61</v>
          </cell>
          <cell r="G68">
            <v>0</v>
          </cell>
          <cell r="H68">
            <v>0</v>
          </cell>
          <cell r="I68">
            <v>84</v>
          </cell>
          <cell r="J68">
            <v>0</v>
          </cell>
          <cell r="K68">
            <v>0</v>
          </cell>
          <cell r="L68">
            <v>5132.25</v>
          </cell>
          <cell r="M68">
            <v>6994.86</v>
          </cell>
          <cell r="N68">
            <v>5216.25</v>
          </cell>
        </row>
        <row r="69">
          <cell r="D69" t="str">
            <v>LOVELACE SALUD APPEAL</v>
          </cell>
          <cell r="E69" t="str">
            <v>NEW A/R</v>
          </cell>
          <cell r="F69">
            <v>5588</v>
          </cell>
          <cell r="G69">
            <v>10934</v>
          </cell>
          <cell r="H69">
            <v>11201</v>
          </cell>
          <cell r="I69">
            <v>8828</v>
          </cell>
          <cell r="J69">
            <v>1556</v>
          </cell>
          <cell r="K69">
            <v>4032</v>
          </cell>
          <cell r="L69">
            <v>12999.16</v>
          </cell>
          <cell r="M69">
            <v>55138.16</v>
          </cell>
          <cell r="N69">
            <v>27415.16</v>
          </cell>
        </row>
        <row r="70">
          <cell r="D70" t="str">
            <v>LOVELACE SCI</v>
          </cell>
          <cell r="E70" t="str">
            <v>NEW A/R</v>
          </cell>
          <cell r="F70">
            <v>101195</v>
          </cell>
          <cell r="G70">
            <v>1837</v>
          </cell>
          <cell r="H70">
            <v>0</v>
          </cell>
          <cell r="I70">
            <v>1326.99</v>
          </cell>
          <cell r="J70">
            <v>0</v>
          </cell>
          <cell r="K70">
            <v>23</v>
          </cell>
          <cell r="L70">
            <v>3750.3</v>
          </cell>
          <cell r="M70">
            <v>108132.29000000001</v>
          </cell>
          <cell r="N70">
            <v>5100.29</v>
          </cell>
        </row>
        <row r="71">
          <cell r="D71" t="str">
            <v>LOVELACE SCI APPEAL</v>
          </cell>
          <cell r="E71" t="str">
            <v>NEW A/R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 t="str">
            <v>LOVELACE SENIOR H/P APPEAL</v>
          </cell>
          <cell r="E72" t="str">
            <v>NEW A/R</v>
          </cell>
          <cell r="F72">
            <v>10064</v>
          </cell>
          <cell r="G72">
            <v>3096</v>
          </cell>
          <cell r="H72">
            <v>9338.6</v>
          </cell>
          <cell r="I72">
            <v>951</v>
          </cell>
          <cell r="J72">
            <v>515</v>
          </cell>
          <cell r="K72">
            <v>1759</v>
          </cell>
          <cell r="L72">
            <v>12122.03</v>
          </cell>
          <cell r="M72">
            <v>37845.629999999997</v>
          </cell>
          <cell r="N72">
            <v>15347.03</v>
          </cell>
        </row>
        <row r="73">
          <cell r="D73" t="str">
            <v>LOVELACE SENIOR HEALTH PLAN</v>
          </cell>
          <cell r="E73" t="str">
            <v>NEW A/R</v>
          </cell>
          <cell r="F73">
            <v>234100.33</v>
          </cell>
          <cell r="G73">
            <v>1777.55</v>
          </cell>
          <cell r="H73">
            <v>274</v>
          </cell>
          <cell r="I73">
            <v>936</v>
          </cell>
          <cell r="J73">
            <v>555.14</v>
          </cell>
          <cell r="K73">
            <v>281</v>
          </cell>
          <cell r="L73">
            <v>3474.55</v>
          </cell>
          <cell r="M73">
            <v>241398.56999999998</v>
          </cell>
          <cell r="N73">
            <v>5246.6900000000005</v>
          </cell>
        </row>
        <row r="74">
          <cell r="D74" t="str">
            <v>M &amp; I INDIGENT</v>
          </cell>
          <cell r="E74" t="str">
            <v>NEW A/R</v>
          </cell>
          <cell r="F74">
            <v>0</v>
          </cell>
          <cell r="G74">
            <v>0</v>
          </cell>
          <cell r="H74">
            <v>87.5</v>
          </cell>
          <cell r="I74">
            <v>603</v>
          </cell>
          <cell r="J74">
            <v>110</v>
          </cell>
          <cell r="K74">
            <v>0</v>
          </cell>
          <cell r="L74">
            <v>0</v>
          </cell>
          <cell r="M74">
            <v>800.5</v>
          </cell>
          <cell r="N74">
            <v>713</v>
          </cell>
        </row>
        <row r="75">
          <cell r="D75" t="str">
            <v>MEDICAID</v>
          </cell>
          <cell r="E75" t="str">
            <v>NEW A/R</v>
          </cell>
          <cell r="F75">
            <v>549127.19999999995</v>
          </cell>
          <cell r="G75">
            <v>65196.28</v>
          </cell>
          <cell r="H75">
            <v>27438.62</v>
          </cell>
          <cell r="I75">
            <v>12151.26</v>
          </cell>
          <cell r="J75">
            <v>3436.71</v>
          </cell>
          <cell r="K75">
            <v>-1042.02</v>
          </cell>
          <cell r="L75">
            <v>-25686.35</v>
          </cell>
          <cell r="M75">
            <v>630621.69999999995</v>
          </cell>
          <cell r="N75">
            <v>-11140.399999999998</v>
          </cell>
        </row>
        <row r="76">
          <cell r="D76" t="str">
            <v>MEDICAID AFTER INSURANCE</v>
          </cell>
          <cell r="E76" t="str">
            <v>NEW A/R</v>
          </cell>
          <cell r="F76">
            <v>430.75</v>
          </cell>
          <cell r="G76">
            <v>4635.1099999999997</v>
          </cell>
          <cell r="H76">
            <v>294.58</v>
          </cell>
          <cell r="I76">
            <v>103.8</v>
          </cell>
          <cell r="J76">
            <v>155.91</v>
          </cell>
          <cell r="K76">
            <v>3.6</v>
          </cell>
          <cell r="L76">
            <v>2113.2399999999998</v>
          </cell>
          <cell r="M76">
            <v>7736.99</v>
          </cell>
          <cell r="N76">
            <v>2376.5499999999997</v>
          </cell>
        </row>
        <row r="77">
          <cell r="D77" t="str">
            <v>MEDICAID AFTER INSURANCE APPEAL</v>
          </cell>
          <cell r="E77" t="str">
            <v>NEW A/R</v>
          </cell>
          <cell r="F77">
            <v>0</v>
          </cell>
          <cell r="G77">
            <v>589</v>
          </cell>
          <cell r="H77">
            <v>332.52</v>
          </cell>
          <cell r="I77">
            <v>129.4</v>
          </cell>
          <cell r="J77">
            <v>47</v>
          </cell>
          <cell r="K77">
            <v>536.74</v>
          </cell>
          <cell r="L77">
            <v>1067.92</v>
          </cell>
          <cell r="M77">
            <v>2702.58</v>
          </cell>
          <cell r="N77">
            <v>1781.06</v>
          </cell>
        </row>
        <row r="78">
          <cell r="D78" t="str">
            <v>MEDICAID AFTER MEDICARE</v>
          </cell>
          <cell r="E78" t="str">
            <v>NEW A/R</v>
          </cell>
          <cell r="F78">
            <v>15475.52</v>
          </cell>
          <cell r="G78">
            <v>13522.31</v>
          </cell>
          <cell r="H78">
            <v>8515.39</v>
          </cell>
          <cell r="I78">
            <v>7128.24</v>
          </cell>
          <cell r="J78">
            <v>74.25</v>
          </cell>
          <cell r="K78">
            <v>1466.28</v>
          </cell>
          <cell r="L78">
            <v>1628.29</v>
          </cell>
          <cell r="M78">
            <v>47810.28</v>
          </cell>
          <cell r="N78">
            <v>10297.060000000001</v>
          </cell>
        </row>
        <row r="79">
          <cell r="D79" t="str">
            <v>MEDICAID AFTER MEDICARE APPEAL</v>
          </cell>
          <cell r="E79" t="str">
            <v>NEW A/R</v>
          </cell>
          <cell r="F79">
            <v>0</v>
          </cell>
          <cell r="G79">
            <v>94.75</v>
          </cell>
          <cell r="H79">
            <v>4841.43</v>
          </cell>
          <cell r="I79">
            <v>310.25</v>
          </cell>
          <cell r="J79">
            <v>166.46</v>
          </cell>
          <cell r="K79">
            <v>717.17</v>
          </cell>
          <cell r="L79">
            <v>4402.13</v>
          </cell>
          <cell r="M79">
            <v>10532.19</v>
          </cell>
          <cell r="N79">
            <v>5596.01</v>
          </cell>
        </row>
        <row r="80">
          <cell r="D80" t="str">
            <v>MEDICAID APPEAL FSC</v>
          </cell>
          <cell r="E80" t="str">
            <v>NEW A/R</v>
          </cell>
          <cell r="F80">
            <v>22246.799999999999</v>
          </cell>
          <cell r="G80">
            <v>34907.82</v>
          </cell>
          <cell r="H80">
            <v>25358</v>
          </cell>
          <cell r="I80">
            <v>19540.240000000002</v>
          </cell>
          <cell r="J80">
            <v>13481</v>
          </cell>
          <cell r="K80">
            <v>20341.419999999998</v>
          </cell>
          <cell r="L80">
            <v>31588.76</v>
          </cell>
          <cell r="M80">
            <v>167464.04</v>
          </cell>
          <cell r="N80">
            <v>84951.42</v>
          </cell>
        </row>
        <row r="81">
          <cell r="D81" t="str">
            <v>MEDICAID EMSA</v>
          </cell>
          <cell r="E81" t="str">
            <v>NEW A/R</v>
          </cell>
          <cell r="F81">
            <v>178293.8</v>
          </cell>
          <cell r="G81">
            <v>203905.75</v>
          </cell>
          <cell r="H81">
            <v>188235.05</v>
          </cell>
          <cell r="I81">
            <v>124561.65</v>
          </cell>
          <cell r="J81">
            <v>78112.75</v>
          </cell>
          <cell r="K81">
            <v>37393.82</v>
          </cell>
          <cell r="L81">
            <v>42156.65</v>
          </cell>
          <cell r="M81">
            <v>852659.47</v>
          </cell>
          <cell r="N81">
            <v>282224.87</v>
          </cell>
        </row>
        <row r="82">
          <cell r="D82" t="str">
            <v>MEDICAID EMSA APPEAL</v>
          </cell>
          <cell r="E82" t="str">
            <v>NEW A/R</v>
          </cell>
          <cell r="F82">
            <v>1275</v>
          </cell>
          <cell r="G82">
            <v>0</v>
          </cell>
          <cell r="H82">
            <v>4487</v>
          </cell>
          <cell r="I82">
            <v>2317</v>
          </cell>
          <cell r="J82">
            <v>2309</v>
          </cell>
          <cell r="K82">
            <v>4336</v>
          </cell>
          <cell r="L82">
            <v>9369.57</v>
          </cell>
          <cell r="M82">
            <v>24093.57</v>
          </cell>
          <cell r="N82">
            <v>18331.57</v>
          </cell>
        </row>
        <row r="83">
          <cell r="D83" t="str">
            <v>MEDICAID OUT/STATE APPEAL</v>
          </cell>
          <cell r="E83" t="str">
            <v>NEW A/R</v>
          </cell>
          <cell r="F83">
            <v>0</v>
          </cell>
          <cell r="G83">
            <v>295.19</v>
          </cell>
          <cell r="H83">
            <v>13766.72</v>
          </cell>
          <cell r="I83">
            <v>13550.67</v>
          </cell>
          <cell r="J83">
            <v>19905.71</v>
          </cell>
          <cell r="K83">
            <v>23853.48</v>
          </cell>
          <cell r="L83">
            <v>73405.11</v>
          </cell>
          <cell r="M83">
            <v>144776.88</v>
          </cell>
          <cell r="N83">
            <v>130714.97</v>
          </cell>
        </row>
        <row r="84">
          <cell r="D84" t="str">
            <v>MEDICAID PENDING/WO</v>
          </cell>
          <cell r="E84" t="str">
            <v>NEW A/R</v>
          </cell>
          <cell r="F84">
            <v>0</v>
          </cell>
          <cell r="G84">
            <v>9</v>
          </cell>
          <cell r="H84">
            <v>56.95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65.95</v>
          </cell>
          <cell r="N84">
            <v>0</v>
          </cell>
        </row>
        <row r="85">
          <cell r="D85" t="str">
            <v>MEDICAID RECOUPS</v>
          </cell>
          <cell r="E85" t="str">
            <v>NEW A/R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900.81</v>
          </cell>
          <cell r="M85">
            <v>900.81</v>
          </cell>
          <cell r="N85">
            <v>900.81</v>
          </cell>
        </row>
        <row r="86">
          <cell r="D86" t="str">
            <v>MEDICAID; OUT OF STATE</v>
          </cell>
          <cell r="E86" t="str">
            <v>NEW A/R</v>
          </cell>
          <cell r="F86">
            <v>152694.09</v>
          </cell>
          <cell r="G86">
            <v>90493.51</v>
          </cell>
          <cell r="H86">
            <v>47535.91</v>
          </cell>
          <cell r="I86">
            <v>34472.300000000003</v>
          </cell>
          <cell r="J86">
            <v>37643.199999999997</v>
          </cell>
          <cell r="K86">
            <v>8093.4</v>
          </cell>
          <cell r="L86">
            <v>130424.39</v>
          </cell>
          <cell r="M86">
            <v>501356.80000000005</v>
          </cell>
          <cell r="N86">
            <v>210633.28999999998</v>
          </cell>
        </row>
        <row r="87">
          <cell r="D87" t="str">
            <v>MEDICARE</v>
          </cell>
          <cell r="E87" t="str">
            <v>NEW A/R</v>
          </cell>
          <cell r="F87">
            <v>2412812.91</v>
          </cell>
          <cell r="G87">
            <v>13032.31</v>
          </cell>
          <cell r="H87">
            <v>17630.22</v>
          </cell>
          <cell r="I87">
            <v>10337.370000000001</v>
          </cell>
          <cell r="J87">
            <v>9943.93</v>
          </cell>
          <cell r="K87">
            <v>18023.23</v>
          </cell>
          <cell r="L87">
            <v>-7958.47</v>
          </cell>
          <cell r="M87">
            <v>2473821.5000000005</v>
          </cell>
          <cell r="N87">
            <v>30346.059999999998</v>
          </cell>
        </row>
        <row r="88">
          <cell r="D88" t="str">
            <v>MEDICARE APPEAL FSC</v>
          </cell>
          <cell r="E88" t="str">
            <v>NEW A/R</v>
          </cell>
          <cell r="F88">
            <v>176047.28</v>
          </cell>
          <cell r="G88">
            <v>125734.76</v>
          </cell>
          <cell r="H88">
            <v>45709.74</v>
          </cell>
          <cell r="I88">
            <v>55279.51</v>
          </cell>
          <cell r="J88">
            <v>26639.23</v>
          </cell>
          <cell r="K88">
            <v>11382.61</v>
          </cell>
          <cell r="L88">
            <v>37595.919999999998</v>
          </cell>
          <cell r="M88">
            <v>478389.04999999993</v>
          </cell>
          <cell r="N88">
            <v>130897.27</v>
          </cell>
        </row>
        <row r="89">
          <cell r="D89" t="str">
            <v>MEDICARE AS SECONDARY</v>
          </cell>
          <cell r="E89" t="str">
            <v>NEW A/R</v>
          </cell>
          <cell r="F89">
            <v>1593.63</v>
          </cell>
          <cell r="G89">
            <v>3670.9</v>
          </cell>
          <cell r="H89">
            <v>227.58</v>
          </cell>
          <cell r="I89">
            <v>-456.55</v>
          </cell>
          <cell r="J89">
            <v>332.43</v>
          </cell>
          <cell r="K89">
            <v>755.8</v>
          </cell>
          <cell r="L89">
            <v>-5463.45</v>
          </cell>
          <cell r="M89">
            <v>660.34000000000106</v>
          </cell>
          <cell r="N89">
            <v>-4831.7699999999995</v>
          </cell>
        </row>
        <row r="90">
          <cell r="D90" t="str">
            <v>MEDICARE PENDING/WO</v>
          </cell>
          <cell r="E90" t="str">
            <v>NEW A/R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D91" t="str">
            <v>MEDICARE PRES APPEAL</v>
          </cell>
          <cell r="E91" t="str">
            <v>NEW A/R</v>
          </cell>
          <cell r="F91">
            <v>1493</v>
          </cell>
          <cell r="G91">
            <v>512</v>
          </cell>
          <cell r="H91">
            <v>170</v>
          </cell>
          <cell r="I91">
            <v>665</v>
          </cell>
          <cell r="J91">
            <v>0</v>
          </cell>
          <cell r="K91">
            <v>7103.5</v>
          </cell>
          <cell r="L91">
            <v>20</v>
          </cell>
          <cell r="M91">
            <v>9963.5</v>
          </cell>
          <cell r="N91">
            <v>7788.5</v>
          </cell>
        </row>
        <row r="92">
          <cell r="D92" t="str">
            <v>MEDICARE PRESBYTERIAN</v>
          </cell>
          <cell r="E92" t="str">
            <v>NEW A/R</v>
          </cell>
          <cell r="F92">
            <v>50887.7</v>
          </cell>
          <cell r="G92">
            <v>1931</v>
          </cell>
          <cell r="H92">
            <v>0</v>
          </cell>
          <cell r="I92">
            <v>288</v>
          </cell>
          <cell r="J92">
            <v>2643</v>
          </cell>
          <cell r="K92">
            <v>85</v>
          </cell>
          <cell r="L92">
            <v>-382.06</v>
          </cell>
          <cell r="M92">
            <v>55452.639999999999</v>
          </cell>
          <cell r="N92">
            <v>2633.94</v>
          </cell>
        </row>
        <row r="93">
          <cell r="D93" t="str">
            <v>MEDICARE RAILROAD</v>
          </cell>
          <cell r="E93" t="str">
            <v>NEW A/R</v>
          </cell>
          <cell r="F93">
            <v>20645.419999999998</v>
          </cell>
          <cell r="G93">
            <v>23623.35</v>
          </cell>
          <cell r="H93">
            <v>21556.93</v>
          </cell>
          <cell r="I93">
            <v>4859.26</v>
          </cell>
          <cell r="J93">
            <v>261.76</v>
          </cell>
          <cell r="K93">
            <v>-45.99</v>
          </cell>
          <cell r="L93">
            <v>-9.43</v>
          </cell>
          <cell r="M93">
            <v>70891.299999999988</v>
          </cell>
          <cell r="N93">
            <v>5065.6000000000004</v>
          </cell>
        </row>
        <row r="94">
          <cell r="D94" t="str">
            <v>MEDICARE RAILROAD APPEAL</v>
          </cell>
          <cell r="E94" t="str">
            <v>NEW A/R</v>
          </cell>
          <cell r="F94">
            <v>0</v>
          </cell>
          <cell r="G94">
            <v>0</v>
          </cell>
          <cell r="H94">
            <v>896</v>
          </cell>
          <cell r="I94">
            <v>0</v>
          </cell>
          <cell r="J94">
            <v>0</v>
          </cell>
          <cell r="K94">
            <v>0</v>
          </cell>
          <cell r="L94">
            <v>-42.5</v>
          </cell>
          <cell r="M94">
            <v>853.5</v>
          </cell>
          <cell r="N94">
            <v>-42.5</v>
          </cell>
        </row>
        <row r="95">
          <cell r="D95" t="str">
            <v>MEDICARE RECOUPS</v>
          </cell>
          <cell r="E95" t="str">
            <v>NEW A/R</v>
          </cell>
          <cell r="F95">
            <v>0</v>
          </cell>
          <cell r="G95">
            <v>0</v>
          </cell>
          <cell r="H95">
            <v>14.14</v>
          </cell>
          <cell r="I95">
            <v>0</v>
          </cell>
          <cell r="J95">
            <v>0</v>
          </cell>
          <cell r="K95">
            <v>0</v>
          </cell>
          <cell r="L95">
            <v>1009.32</v>
          </cell>
          <cell r="M95">
            <v>1023.46</v>
          </cell>
          <cell r="N95">
            <v>1009.32</v>
          </cell>
        </row>
        <row r="96">
          <cell r="D96" t="str">
            <v>MISC MCARE REPLACEMENT APPEAL</v>
          </cell>
          <cell r="E96" t="str">
            <v>NEW A/R</v>
          </cell>
          <cell r="F96">
            <v>9544</v>
          </cell>
          <cell r="G96">
            <v>4947</v>
          </cell>
          <cell r="H96">
            <v>11817.37</v>
          </cell>
          <cell r="I96">
            <v>4584.32</v>
          </cell>
          <cell r="J96">
            <v>5148.78</v>
          </cell>
          <cell r="K96">
            <v>7312.5</v>
          </cell>
          <cell r="L96">
            <v>34703.61</v>
          </cell>
          <cell r="M96">
            <v>78057.58</v>
          </cell>
          <cell r="N96">
            <v>51749.21</v>
          </cell>
        </row>
        <row r="97">
          <cell r="D97" t="str">
            <v>MISC MEDICARE REPLACEMENT</v>
          </cell>
          <cell r="E97" t="str">
            <v>NEW A/R</v>
          </cell>
          <cell r="F97">
            <v>260217.4</v>
          </cell>
          <cell r="G97">
            <v>20692</v>
          </cell>
          <cell r="H97">
            <v>7332</v>
          </cell>
          <cell r="I97">
            <v>13029.58</v>
          </cell>
          <cell r="J97">
            <v>1471.38</v>
          </cell>
          <cell r="K97">
            <v>2784.82</v>
          </cell>
          <cell r="L97">
            <v>7063.7</v>
          </cell>
          <cell r="M97">
            <v>312590.88000000006</v>
          </cell>
          <cell r="N97">
            <v>24349.48</v>
          </cell>
        </row>
        <row r="98">
          <cell r="D98" t="str">
            <v>MISCELLANEOUS COMM RECOUPS</v>
          </cell>
          <cell r="E98" t="str">
            <v>NEW A/R</v>
          </cell>
          <cell r="F98">
            <v>0</v>
          </cell>
          <cell r="G98">
            <v>1974</v>
          </cell>
          <cell r="H98">
            <v>0</v>
          </cell>
          <cell r="I98">
            <v>0</v>
          </cell>
          <cell r="J98">
            <v>110</v>
          </cell>
          <cell r="K98">
            <v>0</v>
          </cell>
          <cell r="L98">
            <v>0</v>
          </cell>
          <cell r="M98">
            <v>2084</v>
          </cell>
          <cell r="N98">
            <v>110</v>
          </cell>
        </row>
        <row r="99">
          <cell r="D99" t="str">
            <v>MOLINA HC OF NM APPEAL</v>
          </cell>
          <cell r="E99" t="str">
            <v>NEW A/R</v>
          </cell>
          <cell r="F99">
            <v>22386</v>
          </cell>
          <cell r="G99">
            <v>19428</v>
          </cell>
          <cell r="H99">
            <v>40843.199999999997</v>
          </cell>
          <cell r="I99">
            <v>7795.18</v>
          </cell>
          <cell r="J99">
            <v>5718</v>
          </cell>
          <cell r="K99">
            <v>7555</v>
          </cell>
          <cell r="L99">
            <v>11364.68</v>
          </cell>
          <cell r="M99">
            <v>115090.06</v>
          </cell>
          <cell r="N99">
            <v>32432.86</v>
          </cell>
        </row>
        <row r="100">
          <cell r="D100" t="str">
            <v>MOLINA HEALTHCARE OF NM</v>
          </cell>
          <cell r="E100" t="str">
            <v>NEW A/R</v>
          </cell>
          <cell r="F100">
            <v>583965.02</v>
          </cell>
          <cell r="G100">
            <v>7107.94</v>
          </cell>
          <cell r="H100">
            <v>2994.54</v>
          </cell>
          <cell r="I100">
            <v>2121.37</v>
          </cell>
          <cell r="J100">
            <v>1537.6</v>
          </cell>
          <cell r="K100">
            <v>7.16</v>
          </cell>
          <cell r="L100">
            <v>-6314.33</v>
          </cell>
          <cell r="M100">
            <v>591419.30000000005</v>
          </cell>
          <cell r="N100">
            <v>-2648.2000000000003</v>
          </cell>
        </row>
        <row r="101">
          <cell r="D101" t="str">
            <v>MOLINA RECOUPS</v>
          </cell>
          <cell r="E101" t="str">
            <v>NEW A/R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8039.19</v>
          </cell>
          <cell r="M101">
            <v>8039.19</v>
          </cell>
          <cell r="N101">
            <v>8039.19</v>
          </cell>
        </row>
        <row r="102">
          <cell r="D102" t="str">
            <v>MOLINA SCI</v>
          </cell>
          <cell r="E102" t="str">
            <v>NEW A/R</v>
          </cell>
          <cell r="F102">
            <v>62650.8</v>
          </cell>
          <cell r="G102">
            <v>994</v>
          </cell>
          <cell r="H102">
            <v>141</v>
          </cell>
          <cell r="I102">
            <v>0</v>
          </cell>
          <cell r="J102">
            <v>0</v>
          </cell>
          <cell r="K102">
            <v>0</v>
          </cell>
          <cell r="L102">
            <v>620.87</v>
          </cell>
          <cell r="M102">
            <v>64406.670000000006</v>
          </cell>
          <cell r="N102">
            <v>620.87</v>
          </cell>
        </row>
        <row r="103">
          <cell r="D103" t="str">
            <v>MOLINA SCI APPEAL</v>
          </cell>
          <cell r="E103" t="str">
            <v>NEW A/R</v>
          </cell>
          <cell r="F103">
            <v>1869</v>
          </cell>
          <cell r="G103">
            <v>361.6</v>
          </cell>
          <cell r="H103">
            <v>1915</v>
          </cell>
          <cell r="I103">
            <v>216</v>
          </cell>
          <cell r="J103">
            <v>238</v>
          </cell>
          <cell r="K103">
            <v>18720</v>
          </cell>
          <cell r="L103">
            <v>0</v>
          </cell>
          <cell r="M103">
            <v>23319.599999999999</v>
          </cell>
          <cell r="N103">
            <v>19174</v>
          </cell>
        </row>
        <row r="104">
          <cell r="D104" t="str">
            <v>MUTUAL OF OMAHA</v>
          </cell>
          <cell r="E104" t="str">
            <v>NEW A/R</v>
          </cell>
          <cell r="F104">
            <v>401.6</v>
          </cell>
          <cell r="G104">
            <v>400.94</v>
          </cell>
          <cell r="H104">
            <v>8.1999999999999993</v>
          </cell>
          <cell r="I104">
            <v>129.84</v>
          </cell>
          <cell r="J104">
            <v>49.95</v>
          </cell>
          <cell r="K104">
            <v>0</v>
          </cell>
          <cell r="L104">
            <v>-347.77</v>
          </cell>
          <cell r="M104">
            <v>642.7600000000001</v>
          </cell>
          <cell r="N104">
            <v>-167.97999999999996</v>
          </cell>
        </row>
        <row r="105">
          <cell r="D105" t="str">
            <v>MUTUAL OF OMAHA APPEAL</v>
          </cell>
          <cell r="E105" t="str">
            <v>NEW A/R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 t="str">
            <v>NCO-PAID IN FULL</v>
          </cell>
          <cell r="E106" t="str">
            <v>NEW A/R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-1095.05</v>
          </cell>
          <cell r="M106">
            <v>-1095.05</v>
          </cell>
          <cell r="N106">
            <v>-1095.05</v>
          </cell>
        </row>
        <row r="107">
          <cell r="D107" t="str">
            <v>NM DONOR PROGRAM</v>
          </cell>
          <cell r="E107" t="str">
            <v>NEW A/R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9335.49</v>
          </cell>
          <cell r="M107">
            <v>9335.49</v>
          </cell>
          <cell r="N107">
            <v>9335.49</v>
          </cell>
        </row>
        <row r="108">
          <cell r="D108" t="str">
            <v>NM SCP&amp;T</v>
          </cell>
          <cell r="E108" t="str">
            <v>NEW A/R</v>
          </cell>
          <cell r="F108">
            <v>14158</v>
          </cell>
          <cell r="G108">
            <v>38552</v>
          </cell>
          <cell r="H108">
            <v>30033</v>
          </cell>
          <cell r="I108">
            <v>23606</v>
          </cell>
          <cell r="J108">
            <v>0</v>
          </cell>
          <cell r="K108">
            <v>859</v>
          </cell>
          <cell r="L108">
            <v>5104</v>
          </cell>
          <cell r="M108">
            <v>112312</v>
          </cell>
          <cell r="N108">
            <v>29569</v>
          </cell>
        </row>
        <row r="109">
          <cell r="D109" t="str">
            <v>NRS COLLECTION</v>
          </cell>
          <cell r="E109" t="str">
            <v>NEW A/R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1285.03</v>
          </cell>
          <cell r="M109">
            <v>1285.03</v>
          </cell>
          <cell r="N109">
            <v>1285.03</v>
          </cell>
        </row>
        <row r="110">
          <cell r="D110" t="str">
            <v>NRS PAID IN FULL</v>
          </cell>
          <cell r="E110" t="str">
            <v>NEW A/R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-50</v>
          </cell>
          <cell r="M110">
            <v>-50</v>
          </cell>
          <cell r="N110">
            <v>-50</v>
          </cell>
        </row>
        <row r="111">
          <cell r="D111" t="str">
            <v>NRS PENDING PLACEMENT</v>
          </cell>
          <cell r="E111" t="str">
            <v>NEW A/R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D112" t="str">
            <v>OPTUM COORDINATED SERVICES</v>
          </cell>
          <cell r="E112" t="str">
            <v>NEW A/R</v>
          </cell>
          <cell r="F112">
            <v>8937.35</v>
          </cell>
          <cell r="G112">
            <v>72.27</v>
          </cell>
          <cell r="H112">
            <v>-340.25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8669.3700000000008</v>
          </cell>
          <cell r="N112">
            <v>0</v>
          </cell>
        </row>
        <row r="113">
          <cell r="D113" t="str">
            <v>OPTUM MANAGED CARE</v>
          </cell>
          <cell r="E113" t="str">
            <v>NEW A/R</v>
          </cell>
          <cell r="F113">
            <v>70105.960000000006</v>
          </cell>
          <cell r="G113">
            <v>2477.6999999999998</v>
          </cell>
          <cell r="H113">
            <v>1178.07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73761.73000000001</v>
          </cell>
          <cell r="N113">
            <v>0</v>
          </cell>
        </row>
        <row r="114">
          <cell r="D114" t="str">
            <v>OSI EBO PENDING PLACEMENT</v>
          </cell>
          <cell r="E114" t="str">
            <v>NEW A/R</v>
          </cell>
          <cell r="F114">
            <v>4241.3999999999996</v>
          </cell>
          <cell r="G114">
            <v>256.08999999999997</v>
          </cell>
          <cell r="H114">
            <v>252.45</v>
          </cell>
          <cell r="I114">
            <v>405.14</v>
          </cell>
          <cell r="J114">
            <v>0</v>
          </cell>
          <cell r="K114">
            <v>0</v>
          </cell>
          <cell r="L114">
            <v>-616.57000000000005</v>
          </cell>
          <cell r="M114">
            <v>4538.51</v>
          </cell>
          <cell r="N114">
            <v>-211.43000000000006</v>
          </cell>
        </row>
        <row r="115">
          <cell r="D115" t="str">
            <v>OSI EXTENDED BUSINESS OFFICE</v>
          </cell>
          <cell r="E115" t="str">
            <v>NEW A/R</v>
          </cell>
          <cell r="F115">
            <v>113241.53</v>
          </cell>
          <cell r="G115">
            <v>269791.84999999998</v>
          </cell>
          <cell r="H115">
            <v>494473.44</v>
          </cell>
          <cell r="I115">
            <v>1243213.23</v>
          </cell>
          <cell r="J115">
            <v>1433348.42</v>
          </cell>
          <cell r="K115">
            <v>1191327.47</v>
          </cell>
          <cell r="L115">
            <v>3370602.93</v>
          </cell>
          <cell r="M115">
            <v>8115998.8699999992</v>
          </cell>
          <cell r="N115">
            <v>7238492.0500000007</v>
          </cell>
        </row>
        <row r="116">
          <cell r="D116" t="str">
            <v>OSI PAID IN FULL</v>
          </cell>
          <cell r="E116" t="str">
            <v>NEW A/R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-281</v>
          </cell>
          <cell r="M116">
            <v>-281</v>
          </cell>
          <cell r="N116">
            <v>-281</v>
          </cell>
        </row>
        <row r="117">
          <cell r="D117" t="str">
            <v>OTHER/ COMMERCIAL INSURANCE</v>
          </cell>
          <cell r="E117" t="str">
            <v>NEW A/R</v>
          </cell>
          <cell r="F117">
            <v>302342.39</v>
          </cell>
          <cell r="G117">
            <v>229472.53</v>
          </cell>
          <cell r="H117">
            <v>135395.54999999999</v>
          </cell>
          <cell r="I117">
            <v>72478.62</v>
          </cell>
          <cell r="J117">
            <v>15750.18</v>
          </cell>
          <cell r="K117">
            <v>1911.66</v>
          </cell>
          <cell r="L117">
            <v>21991.97</v>
          </cell>
          <cell r="M117">
            <v>779342.9</v>
          </cell>
          <cell r="N117">
            <v>112132.43</v>
          </cell>
        </row>
        <row r="118">
          <cell r="D118" t="str">
            <v>OTHER/COMMERCIAL INS SECONDARY</v>
          </cell>
          <cell r="E118" t="str">
            <v>NEW A/R</v>
          </cell>
          <cell r="F118">
            <v>75.89</v>
          </cell>
          <cell r="G118">
            <v>1106.6199999999999</v>
          </cell>
          <cell r="H118">
            <v>220.17</v>
          </cell>
          <cell r="I118">
            <v>7953.02</v>
          </cell>
          <cell r="J118">
            <v>219.09</v>
          </cell>
          <cell r="K118">
            <v>-158.5</v>
          </cell>
          <cell r="L118">
            <v>-117.34</v>
          </cell>
          <cell r="M118">
            <v>9298.9500000000007</v>
          </cell>
          <cell r="N118">
            <v>7896.27</v>
          </cell>
        </row>
        <row r="119">
          <cell r="D119" t="str">
            <v>PAID UP FRONT</v>
          </cell>
          <cell r="E119" t="str">
            <v>NEW A/R</v>
          </cell>
          <cell r="F119">
            <v>6126.5</v>
          </cell>
          <cell r="G119">
            <v>5968.6</v>
          </cell>
          <cell r="H119">
            <v>1676.47</v>
          </cell>
          <cell r="I119">
            <v>1819.65</v>
          </cell>
          <cell r="J119">
            <v>69</v>
          </cell>
          <cell r="K119">
            <v>260</v>
          </cell>
          <cell r="L119">
            <v>-113.7</v>
          </cell>
          <cell r="M119">
            <v>15806.519999999999</v>
          </cell>
          <cell r="N119">
            <v>2034.95</v>
          </cell>
        </row>
        <row r="120">
          <cell r="D120" t="str">
            <v>PENDING COPAY</v>
          </cell>
          <cell r="E120" t="str">
            <v>NEW A/R</v>
          </cell>
          <cell r="F120">
            <v>21962.16</v>
          </cell>
          <cell r="G120">
            <v>24830.95</v>
          </cell>
          <cell r="H120">
            <v>12616.97</v>
          </cell>
          <cell r="I120">
            <v>1043.01</v>
          </cell>
          <cell r="J120">
            <v>550</v>
          </cell>
          <cell r="K120">
            <v>737.87</v>
          </cell>
          <cell r="L120">
            <v>232.28</v>
          </cell>
          <cell r="M120">
            <v>61973.240000000005</v>
          </cell>
          <cell r="N120">
            <v>2563.1600000000003</v>
          </cell>
        </row>
        <row r="121">
          <cell r="D121" t="str">
            <v>PENDING EMSA</v>
          </cell>
          <cell r="E121" t="str">
            <v>NEW A/R</v>
          </cell>
          <cell r="F121">
            <v>131996</v>
          </cell>
          <cell r="G121">
            <v>43335</v>
          </cell>
          <cell r="H121">
            <v>32566</v>
          </cell>
          <cell r="I121">
            <v>12390</v>
          </cell>
          <cell r="J121">
            <v>22</v>
          </cell>
          <cell r="K121">
            <v>0</v>
          </cell>
          <cell r="L121">
            <v>0</v>
          </cell>
          <cell r="M121">
            <v>220309</v>
          </cell>
          <cell r="N121">
            <v>12412</v>
          </cell>
        </row>
        <row r="122">
          <cell r="D122" t="str">
            <v>PENDING MEDICAID ELIGIBILITY</v>
          </cell>
          <cell r="E122" t="str">
            <v>NEW A/R</v>
          </cell>
          <cell r="F122">
            <v>245272.53</v>
          </cell>
          <cell r="G122">
            <v>163533.5</v>
          </cell>
          <cell r="H122">
            <v>46237.72</v>
          </cell>
          <cell r="I122">
            <v>13144</v>
          </cell>
          <cell r="J122">
            <v>0</v>
          </cell>
          <cell r="K122">
            <v>0</v>
          </cell>
          <cell r="L122">
            <v>0</v>
          </cell>
          <cell r="M122">
            <v>468187.75</v>
          </cell>
          <cell r="N122">
            <v>13144</v>
          </cell>
        </row>
        <row r="123">
          <cell r="D123" t="str">
            <v>PHP SALUD APPEAL</v>
          </cell>
          <cell r="E123" t="str">
            <v>NEW A/R</v>
          </cell>
          <cell r="F123">
            <v>13595</v>
          </cell>
          <cell r="G123">
            <v>27072.09</v>
          </cell>
          <cell r="H123">
            <v>13585.04</v>
          </cell>
          <cell r="I123">
            <v>24175.8</v>
          </cell>
          <cell r="J123">
            <v>3259.97</v>
          </cell>
          <cell r="K123">
            <v>29619.42</v>
          </cell>
          <cell r="L123">
            <v>60219.44</v>
          </cell>
          <cell r="M123">
            <v>171526.76</v>
          </cell>
          <cell r="N123">
            <v>117274.63</v>
          </cell>
        </row>
        <row r="124">
          <cell r="D124" t="str">
            <v>PRESBYTERIAN H/P-APPEAL</v>
          </cell>
          <cell r="E124" t="str">
            <v>NEW A/R</v>
          </cell>
          <cell r="F124">
            <v>6339.66</v>
          </cell>
          <cell r="G124">
            <v>21412.38</v>
          </cell>
          <cell r="H124">
            <v>11770.31</v>
          </cell>
          <cell r="I124">
            <v>18220.77</v>
          </cell>
          <cell r="J124">
            <v>7797.21</v>
          </cell>
          <cell r="K124">
            <v>9461.6</v>
          </cell>
          <cell r="L124">
            <v>19629.349999999999</v>
          </cell>
          <cell r="M124">
            <v>94631.28</v>
          </cell>
          <cell r="N124">
            <v>55108.93</v>
          </cell>
        </row>
        <row r="125">
          <cell r="D125" t="str">
            <v>PRESBYTERIAN HEALTH PLAN HMO/PPO</v>
          </cell>
          <cell r="E125" t="str">
            <v>NEW A/R</v>
          </cell>
          <cell r="F125">
            <v>526848.44999999995</v>
          </cell>
          <cell r="G125">
            <v>41567.870000000003</v>
          </cell>
          <cell r="H125">
            <v>3871.68</v>
          </cell>
          <cell r="I125">
            <v>3162.67</v>
          </cell>
          <cell r="J125">
            <v>-1633.13</v>
          </cell>
          <cell r="K125">
            <v>244.73</v>
          </cell>
          <cell r="L125">
            <v>33082.61</v>
          </cell>
          <cell r="M125">
            <v>607144.88</v>
          </cell>
          <cell r="N125">
            <v>34856.879999999997</v>
          </cell>
        </row>
        <row r="126">
          <cell r="D126" t="str">
            <v>PRESBYTERIAN HEALTH PLAN INDEMNITY</v>
          </cell>
          <cell r="E126" t="str">
            <v>NEW A/R</v>
          </cell>
          <cell r="F126">
            <v>14071</v>
          </cell>
          <cell r="G126">
            <v>1547.44</v>
          </cell>
          <cell r="H126">
            <v>126</v>
          </cell>
          <cell r="I126">
            <v>632.98</v>
          </cell>
          <cell r="J126">
            <v>30.71</v>
          </cell>
          <cell r="K126">
            <v>0</v>
          </cell>
          <cell r="L126">
            <v>-948.3</v>
          </cell>
          <cell r="M126">
            <v>15459.830000000002</v>
          </cell>
          <cell r="N126">
            <v>-284.6099999999999</v>
          </cell>
        </row>
        <row r="127">
          <cell r="D127" t="str">
            <v>PRESBYTERIAN RECOUPS</v>
          </cell>
          <cell r="E127" t="str">
            <v>NEW A/R</v>
          </cell>
          <cell r="F127">
            <v>0</v>
          </cell>
          <cell r="G127">
            <v>825.35</v>
          </cell>
          <cell r="H127">
            <v>3938.28</v>
          </cell>
          <cell r="I127">
            <v>1202</v>
          </cell>
          <cell r="J127">
            <v>4490.32</v>
          </cell>
          <cell r="K127">
            <v>92</v>
          </cell>
          <cell r="L127">
            <v>4692.97</v>
          </cell>
          <cell r="M127">
            <v>15240.920000000002</v>
          </cell>
          <cell r="N127">
            <v>10477.290000000001</v>
          </cell>
        </row>
        <row r="128">
          <cell r="D128" t="str">
            <v>PRESBYTERIAN SCI</v>
          </cell>
          <cell r="E128" t="str">
            <v>NEW A/R</v>
          </cell>
          <cell r="F128">
            <v>23902</v>
          </cell>
          <cell r="G128">
            <v>1393.02</v>
          </cell>
          <cell r="H128">
            <v>858</v>
          </cell>
          <cell r="I128">
            <v>1744</v>
          </cell>
          <cell r="J128">
            <v>784</v>
          </cell>
          <cell r="K128">
            <v>692</v>
          </cell>
          <cell r="L128">
            <v>-5.48</v>
          </cell>
          <cell r="M128">
            <v>29367.54</v>
          </cell>
          <cell r="N128">
            <v>3214.52</v>
          </cell>
        </row>
        <row r="129">
          <cell r="D129" t="str">
            <v>PRESBYTERIAN SCI APPEAL</v>
          </cell>
          <cell r="E129" t="str">
            <v>NEW A/R</v>
          </cell>
          <cell r="F129">
            <v>8809.6</v>
          </cell>
          <cell r="G129">
            <v>5818</v>
          </cell>
          <cell r="H129">
            <v>472</v>
          </cell>
          <cell r="I129">
            <v>1914</v>
          </cell>
          <cell r="J129">
            <v>1055</v>
          </cell>
          <cell r="K129">
            <v>189</v>
          </cell>
          <cell r="L129">
            <v>3984</v>
          </cell>
          <cell r="M129">
            <v>22241.599999999999</v>
          </cell>
          <cell r="N129">
            <v>7142</v>
          </cell>
        </row>
        <row r="130">
          <cell r="D130" t="str">
            <v>PRINCIPAL LIFE/COMM'L</v>
          </cell>
          <cell r="E130" t="str">
            <v>NEW A/R</v>
          </cell>
          <cell r="F130">
            <v>11297.88</v>
          </cell>
          <cell r="G130">
            <v>562.80999999999995</v>
          </cell>
          <cell r="H130">
            <v>1108</v>
          </cell>
          <cell r="I130">
            <v>44.03</v>
          </cell>
          <cell r="J130">
            <v>1931.51</v>
          </cell>
          <cell r="K130">
            <v>22.29</v>
          </cell>
          <cell r="L130">
            <v>-500.15</v>
          </cell>
          <cell r="M130">
            <v>14466.37</v>
          </cell>
          <cell r="N130">
            <v>1497.6799999999998</v>
          </cell>
        </row>
        <row r="131">
          <cell r="D131" t="str">
            <v>PRINCIPLE FINANCIAL APPEAL</v>
          </cell>
          <cell r="E131" t="str">
            <v>NEW A/R</v>
          </cell>
          <cell r="F131">
            <v>0</v>
          </cell>
          <cell r="G131">
            <v>83</v>
          </cell>
          <cell r="H131">
            <v>1245.03</v>
          </cell>
          <cell r="I131">
            <v>595</v>
          </cell>
          <cell r="J131">
            <v>0</v>
          </cell>
          <cell r="K131">
            <v>234</v>
          </cell>
          <cell r="L131">
            <v>797.44</v>
          </cell>
          <cell r="M131">
            <v>2954.47</v>
          </cell>
          <cell r="N131">
            <v>1626.44</v>
          </cell>
        </row>
        <row r="132">
          <cell r="D132" t="str">
            <v>RECOUPS</v>
          </cell>
          <cell r="E132" t="str">
            <v>NEW A/R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1796.67</v>
          </cell>
          <cell r="M132">
            <v>1796.67</v>
          </cell>
          <cell r="N132">
            <v>1796.67</v>
          </cell>
        </row>
        <row r="133">
          <cell r="D133" t="str">
            <v>RETURNED MAIL</v>
          </cell>
          <cell r="E133" t="str">
            <v>NEW A/R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 t="str">
            <v>RISK MANAGEMENT-SELF PAY</v>
          </cell>
          <cell r="E134" t="str">
            <v>NEW A/R</v>
          </cell>
          <cell r="F134">
            <v>-98.54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-54.28</v>
          </cell>
          <cell r="M134">
            <v>-152.82</v>
          </cell>
          <cell r="N134">
            <v>-54.28</v>
          </cell>
        </row>
        <row r="135">
          <cell r="D135" t="str">
            <v>SALUD LOVELACE</v>
          </cell>
          <cell r="E135" t="str">
            <v>NEW A/R</v>
          </cell>
          <cell r="F135">
            <v>766508.2</v>
          </cell>
          <cell r="G135">
            <v>36467.800000000003</v>
          </cell>
          <cell r="H135">
            <v>11404.62</v>
          </cell>
          <cell r="I135">
            <v>14355.54</v>
          </cell>
          <cell r="J135">
            <v>4585.53</v>
          </cell>
          <cell r="K135">
            <v>3112.1</v>
          </cell>
          <cell r="L135">
            <v>1106.8800000000001</v>
          </cell>
          <cell r="M135">
            <v>837540.67</v>
          </cell>
          <cell r="N135">
            <v>23160.05</v>
          </cell>
        </row>
        <row r="136">
          <cell r="D136" t="str">
            <v>SALUD PRESBYTERIAN</v>
          </cell>
          <cell r="E136" t="str">
            <v>NEW A/R</v>
          </cell>
          <cell r="F136">
            <v>694772.22</v>
          </cell>
          <cell r="G136">
            <v>13791.71</v>
          </cell>
          <cell r="H136">
            <v>10217.52</v>
          </cell>
          <cell r="I136">
            <v>4129.8999999999996</v>
          </cell>
          <cell r="J136">
            <v>2480</v>
          </cell>
          <cell r="K136">
            <v>207.4</v>
          </cell>
          <cell r="L136">
            <v>-7290.52</v>
          </cell>
          <cell r="M136">
            <v>718308.23</v>
          </cell>
          <cell r="N136">
            <v>-473.22000000000116</v>
          </cell>
        </row>
        <row r="137">
          <cell r="D137" t="str">
            <v>SECTION 1011</v>
          </cell>
          <cell r="E137" t="str">
            <v>NEW A/R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442</v>
          </cell>
          <cell r="K137">
            <v>3033.2</v>
          </cell>
          <cell r="L137">
            <v>85575.02</v>
          </cell>
          <cell r="M137">
            <v>89050.22</v>
          </cell>
          <cell r="N137">
            <v>89050.22</v>
          </cell>
        </row>
        <row r="138">
          <cell r="D138" t="str">
            <v>SELF PAY</v>
          </cell>
          <cell r="E138" t="str">
            <v>NEW A/R</v>
          </cell>
          <cell r="F138">
            <v>1607495.46</v>
          </cell>
          <cell r="G138">
            <v>1478424.46</v>
          </cell>
          <cell r="H138">
            <v>775280.5</v>
          </cell>
          <cell r="I138">
            <v>366776.05</v>
          </cell>
          <cell r="J138">
            <v>161371.09</v>
          </cell>
          <cell r="K138">
            <v>106711.78</v>
          </cell>
          <cell r="L138">
            <v>271258.93</v>
          </cell>
          <cell r="M138">
            <v>4767318.2699999996</v>
          </cell>
          <cell r="N138">
            <v>906117.85000000009</v>
          </cell>
        </row>
        <row r="139">
          <cell r="D139" t="str">
            <v>SPECIAL BILLING (W/O CLAIMS)</v>
          </cell>
          <cell r="E139" t="str">
            <v>NEW A/R</v>
          </cell>
          <cell r="F139">
            <v>495985.76</v>
          </cell>
          <cell r="G139">
            <v>414838.88</v>
          </cell>
          <cell r="H139">
            <v>68918.63</v>
          </cell>
          <cell r="I139">
            <v>41726.160000000003</v>
          </cell>
          <cell r="J139">
            <v>0</v>
          </cell>
          <cell r="K139">
            <v>98624.65</v>
          </cell>
          <cell r="L139">
            <v>9226</v>
          </cell>
          <cell r="M139">
            <v>1129320.08</v>
          </cell>
          <cell r="N139">
            <v>149576.81</v>
          </cell>
        </row>
        <row r="140">
          <cell r="D140" t="str">
            <v>SPECIAL BILLING APPEAL</v>
          </cell>
          <cell r="E140" t="str">
            <v>NEW A/R</v>
          </cell>
          <cell r="F140">
            <v>0</v>
          </cell>
          <cell r="G140">
            <v>0</v>
          </cell>
          <cell r="H140">
            <v>0</v>
          </cell>
          <cell r="I140">
            <v>266</v>
          </cell>
          <cell r="J140">
            <v>0</v>
          </cell>
          <cell r="K140">
            <v>0</v>
          </cell>
          <cell r="L140">
            <v>-5.55</v>
          </cell>
          <cell r="M140">
            <v>260.45</v>
          </cell>
          <cell r="N140">
            <v>260.45</v>
          </cell>
        </row>
        <row r="141">
          <cell r="D141" t="str">
            <v>SPECIAL PROJECT BCBS</v>
          </cell>
          <cell r="E141" t="str">
            <v>NEW A/R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504.67</v>
          </cell>
          <cell r="M141">
            <v>504.67</v>
          </cell>
          <cell r="N141">
            <v>504.67</v>
          </cell>
        </row>
        <row r="142">
          <cell r="D142" t="str">
            <v>SPECIAL PROJECT LOVELACE SALUD</v>
          </cell>
          <cell r="E142" t="str">
            <v>NEW A/R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11535</v>
          </cell>
          <cell r="M142">
            <v>11535</v>
          </cell>
          <cell r="N142">
            <v>11535</v>
          </cell>
        </row>
        <row r="143">
          <cell r="D143" t="str">
            <v>SPECIAL PROJECT MEDICAID</v>
          </cell>
          <cell r="E143" t="str">
            <v>NEW A/R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54086.14</v>
          </cell>
          <cell r="M143">
            <v>54086.14</v>
          </cell>
          <cell r="N143">
            <v>54086.14</v>
          </cell>
        </row>
        <row r="144">
          <cell r="D144" t="str">
            <v>SPECIAL PROJECT PRES COMM</v>
          </cell>
          <cell r="E144" t="str">
            <v>NEW A/R</v>
          </cell>
          <cell r="F144">
            <v>4169.92</v>
          </cell>
          <cell r="G144">
            <v>1926.33</v>
          </cell>
          <cell r="H144">
            <v>17688.8</v>
          </cell>
          <cell r="I144">
            <v>1939.2</v>
          </cell>
          <cell r="J144">
            <v>5705.41</v>
          </cell>
          <cell r="K144">
            <v>2773.71</v>
          </cell>
          <cell r="L144">
            <v>5589.26</v>
          </cell>
          <cell r="M144">
            <v>39792.630000000005</v>
          </cell>
          <cell r="N144">
            <v>16007.58</v>
          </cell>
        </row>
        <row r="145">
          <cell r="D145" t="str">
            <v>SPECIAL PROJECT PRESBYTERIAN SALUD</v>
          </cell>
          <cell r="E145" t="str">
            <v>NEW A/R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65.209999999999994</v>
          </cell>
          <cell r="M145">
            <v>65.209999999999994</v>
          </cell>
          <cell r="N145">
            <v>65.209999999999994</v>
          </cell>
        </row>
        <row r="146">
          <cell r="D146" t="str">
            <v>SPECIAL PROJECT UNITED HEALTH</v>
          </cell>
          <cell r="E146" t="str">
            <v>NEW A/R</v>
          </cell>
          <cell r="F146">
            <v>0</v>
          </cell>
          <cell r="G146">
            <v>148</v>
          </cell>
          <cell r="H146">
            <v>211</v>
          </cell>
          <cell r="I146">
            <v>110</v>
          </cell>
          <cell r="J146">
            <v>110</v>
          </cell>
          <cell r="K146">
            <v>0</v>
          </cell>
          <cell r="L146">
            <v>204.68</v>
          </cell>
          <cell r="M146">
            <v>783.68000000000006</v>
          </cell>
          <cell r="N146">
            <v>424.68</v>
          </cell>
        </row>
        <row r="147">
          <cell r="D147" t="str">
            <v>SPECIAL PROJECT VO</v>
          </cell>
          <cell r="E147" t="str">
            <v>NEW A/R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-375.8</v>
          </cell>
          <cell r="M147">
            <v>-375.8</v>
          </cell>
          <cell r="N147">
            <v>-375.8</v>
          </cell>
        </row>
        <row r="148">
          <cell r="D148" t="str">
            <v>STATE COVERAGE INSURANCE</v>
          </cell>
          <cell r="E148" t="str">
            <v>NEW A/R</v>
          </cell>
          <cell r="F148">
            <v>917.71</v>
          </cell>
          <cell r="G148">
            <v>38.68</v>
          </cell>
          <cell r="H148">
            <v>-20</v>
          </cell>
          <cell r="I148">
            <v>-110</v>
          </cell>
          <cell r="J148">
            <v>-15</v>
          </cell>
          <cell r="K148">
            <v>-5</v>
          </cell>
          <cell r="L148">
            <v>17.920000000000002</v>
          </cell>
          <cell r="M148">
            <v>824.31</v>
          </cell>
          <cell r="N148">
            <v>-112.08</v>
          </cell>
        </row>
        <row r="149">
          <cell r="D149" t="str">
            <v>STUDENT INS APPEAL</v>
          </cell>
          <cell r="E149" t="str">
            <v>NEW A/R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44</v>
          </cell>
          <cell r="M149">
            <v>44</v>
          </cell>
          <cell r="N149">
            <v>44</v>
          </cell>
        </row>
        <row r="150">
          <cell r="D150" t="str">
            <v>STUDENT INSURANCE</v>
          </cell>
          <cell r="E150" t="str">
            <v>NEW A/R</v>
          </cell>
          <cell r="F150">
            <v>12411</v>
          </cell>
          <cell r="G150">
            <v>21751.040000000001</v>
          </cell>
          <cell r="H150">
            <v>7668</v>
          </cell>
          <cell r="I150">
            <v>4890.6499999999996</v>
          </cell>
          <cell r="J150">
            <v>1324</v>
          </cell>
          <cell r="K150">
            <v>35</v>
          </cell>
          <cell r="L150">
            <v>306.37</v>
          </cell>
          <cell r="M150">
            <v>48386.060000000005</v>
          </cell>
          <cell r="N150">
            <v>6556.0199999999995</v>
          </cell>
        </row>
        <row r="151">
          <cell r="D151" t="str">
            <v>SUSPENSE/ALL</v>
          </cell>
          <cell r="E151" t="str">
            <v>NEW A/R</v>
          </cell>
          <cell r="F151">
            <v>-5131.4399999999996</v>
          </cell>
          <cell r="G151">
            <v>-3572.97</v>
          </cell>
          <cell r="H151">
            <v>-5176.17</v>
          </cell>
          <cell r="I151">
            <v>-2725.79</v>
          </cell>
          <cell r="J151">
            <v>301.19</v>
          </cell>
          <cell r="K151">
            <v>-1597.76</v>
          </cell>
          <cell r="L151">
            <v>9279.69</v>
          </cell>
          <cell r="M151">
            <v>-8623.2499999999982</v>
          </cell>
          <cell r="N151">
            <v>5257.3300000000008</v>
          </cell>
        </row>
        <row r="152">
          <cell r="D152" t="str">
            <v>TRICARE</v>
          </cell>
          <cell r="E152" t="str">
            <v>NEW A/R</v>
          </cell>
          <cell r="F152">
            <v>403599.96</v>
          </cell>
          <cell r="G152">
            <v>43093.98</v>
          </cell>
          <cell r="H152">
            <v>42634.84</v>
          </cell>
          <cell r="I152">
            <v>3390.63</v>
          </cell>
          <cell r="J152">
            <v>835.22</v>
          </cell>
          <cell r="K152">
            <v>502.78</v>
          </cell>
          <cell r="L152">
            <v>3176.47</v>
          </cell>
          <cell r="M152">
            <v>497233.88</v>
          </cell>
          <cell r="N152">
            <v>7905.1</v>
          </cell>
        </row>
        <row r="153">
          <cell r="D153" t="str">
            <v>TRICARE APPEAL</v>
          </cell>
          <cell r="E153" t="str">
            <v>NEW A/R</v>
          </cell>
          <cell r="F153">
            <v>2136.1999999999998</v>
          </cell>
          <cell r="G153">
            <v>8213.7199999999993</v>
          </cell>
          <cell r="H153">
            <v>7587.92</v>
          </cell>
          <cell r="I153">
            <v>5049.2</v>
          </cell>
          <cell r="J153">
            <v>2394.67</v>
          </cell>
          <cell r="K153">
            <v>7225.23</v>
          </cell>
          <cell r="L153">
            <v>6413.89</v>
          </cell>
          <cell r="M153">
            <v>39020.83</v>
          </cell>
          <cell r="N153">
            <v>21082.989999999998</v>
          </cell>
        </row>
        <row r="154">
          <cell r="D154" t="str">
            <v>TRI-CARE RECOUPS</v>
          </cell>
          <cell r="E154" t="str">
            <v>NEW A/R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 t="str">
            <v>TRUMAN STREET CLINIC-RYAN WHITE</v>
          </cell>
          <cell r="E155" t="str">
            <v>NEW A/R</v>
          </cell>
          <cell r="F155">
            <v>3486.61</v>
          </cell>
          <cell r="G155">
            <v>7817.86</v>
          </cell>
          <cell r="H155">
            <v>2211.1799999999998</v>
          </cell>
          <cell r="I155">
            <v>2965.59</v>
          </cell>
          <cell r="J155">
            <v>4063.31</v>
          </cell>
          <cell r="K155">
            <v>786.37</v>
          </cell>
          <cell r="L155">
            <v>2869</v>
          </cell>
          <cell r="M155">
            <v>24199.919999999998</v>
          </cell>
          <cell r="N155">
            <v>10684.27</v>
          </cell>
        </row>
        <row r="156">
          <cell r="D156" t="str">
            <v>UH ONLY VISIT</v>
          </cell>
          <cell r="E156" t="str">
            <v>NEW A/R</v>
          </cell>
          <cell r="F156">
            <v>-145</v>
          </cell>
          <cell r="G156">
            <v>-110</v>
          </cell>
          <cell r="H156">
            <v>-100</v>
          </cell>
          <cell r="I156">
            <v>-160</v>
          </cell>
          <cell r="J156">
            <v>-85</v>
          </cell>
          <cell r="K156">
            <v>0</v>
          </cell>
          <cell r="L156">
            <v>-35</v>
          </cell>
          <cell r="M156">
            <v>-635</v>
          </cell>
          <cell r="N156">
            <v>-280</v>
          </cell>
        </row>
        <row r="157">
          <cell r="D157" t="str">
            <v>UHC MEDICARE REPLACEMENT</v>
          </cell>
          <cell r="E157" t="str">
            <v>NEW A/R</v>
          </cell>
          <cell r="F157">
            <v>78490.600000000006</v>
          </cell>
          <cell r="G157">
            <v>11054.71</v>
          </cell>
          <cell r="H157">
            <v>1901</v>
          </cell>
          <cell r="I157">
            <v>1756.76</v>
          </cell>
          <cell r="J157">
            <v>35.96</v>
          </cell>
          <cell r="K157">
            <v>0</v>
          </cell>
          <cell r="L157">
            <v>-148.58000000000001</v>
          </cell>
          <cell r="M157">
            <v>93090.45</v>
          </cell>
          <cell r="N157">
            <v>1644.14</v>
          </cell>
        </row>
        <row r="158">
          <cell r="D158" t="str">
            <v>UHC MEDICARE REPLACEMENT APPEAL</v>
          </cell>
          <cell r="E158" t="str">
            <v>NEW A/R</v>
          </cell>
          <cell r="F158">
            <v>196</v>
          </cell>
          <cell r="G158">
            <v>1725.72</v>
          </cell>
          <cell r="H158">
            <v>1211.43</v>
          </cell>
          <cell r="I158">
            <v>977.6</v>
          </cell>
          <cell r="J158">
            <v>223</v>
          </cell>
          <cell r="K158">
            <v>1336</v>
          </cell>
          <cell r="L158">
            <v>3695.6</v>
          </cell>
          <cell r="M158">
            <v>9365.35</v>
          </cell>
          <cell r="N158">
            <v>6232.2</v>
          </cell>
        </row>
        <row r="159">
          <cell r="D159" t="str">
            <v>UNITED HEALTH CARE</v>
          </cell>
          <cell r="E159" t="str">
            <v>NEW A/R</v>
          </cell>
          <cell r="F159">
            <v>328010.90999999997</v>
          </cell>
          <cell r="G159">
            <v>37357.599999999999</v>
          </cell>
          <cell r="H159">
            <v>12923.58</v>
          </cell>
          <cell r="I159">
            <v>5297.83</v>
          </cell>
          <cell r="J159">
            <v>1422.81</v>
          </cell>
          <cell r="K159">
            <v>863.03</v>
          </cell>
          <cell r="L159">
            <v>-8466.9</v>
          </cell>
          <cell r="M159">
            <v>377408.86</v>
          </cell>
          <cell r="N159">
            <v>-883.23000000000047</v>
          </cell>
        </row>
        <row r="160">
          <cell r="D160" t="str">
            <v>UNITED HEALTH CARE APPEAL</v>
          </cell>
          <cell r="E160" t="str">
            <v>NEW A/R</v>
          </cell>
          <cell r="F160">
            <v>4854.3599999999997</v>
          </cell>
          <cell r="G160">
            <v>38380.949999999997</v>
          </cell>
          <cell r="H160">
            <v>8722.39</v>
          </cell>
          <cell r="I160">
            <v>13114.39</v>
          </cell>
          <cell r="J160">
            <v>14392.22</v>
          </cell>
          <cell r="K160">
            <v>10770.44</v>
          </cell>
          <cell r="L160">
            <v>62650.77</v>
          </cell>
          <cell r="M160">
            <v>152885.51999999999</v>
          </cell>
          <cell r="N160">
            <v>100927.82</v>
          </cell>
        </row>
        <row r="161">
          <cell r="D161" t="str">
            <v>UNITED HEALTH CARE RECOUPS</v>
          </cell>
          <cell r="E161" t="str">
            <v>NEW A/R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-8150.97</v>
          </cell>
          <cell r="M161">
            <v>-8150.97</v>
          </cell>
          <cell r="N161">
            <v>-8150.97</v>
          </cell>
        </row>
        <row r="162">
          <cell r="D162" t="str">
            <v>UNITED HEALTH CARE-UNM EMP</v>
          </cell>
          <cell r="E162" t="str">
            <v>NEW A/R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-2306.02</v>
          </cell>
          <cell r="M162">
            <v>-2306.02</v>
          </cell>
          <cell r="N162">
            <v>-2306.02</v>
          </cell>
        </row>
        <row r="163">
          <cell r="D163" t="str">
            <v>UNITED HEALTH CR APPEAL-UNM EMP</v>
          </cell>
          <cell r="E163" t="str">
            <v>NEW A/R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156.08000000000001</v>
          </cell>
          <cell r="M163">
            <v>156.08000000000001</v>
          </cell>
          <cell r="N163">
            <v>156.08000000000001</v>
          </cell>
        </row>
        <row r="164">
          <cell r="D164" t="str">
            <v>UNM ATHLETES</v>
          </cell>
          <cell r="E164" t="str">
            <v>NEW A/R</v>
          </cell>
          <cell r="F164">
            <v>1624.35</v>
          </cell>
          <cell r="G164">
            <v>26.32</v>
          </cell>
          <cell r="H164">
            <v>0</v>
          </cell>
          <cell r="I164">
            <v>0</v>
          </cell>
          <cell r="J164">
            <v>147</v>
          </cell>
          <cell r="K164">
            <v>0</v>
          </cell>
          <cell r="L164">
            <v>-217.4</v>
          </cell>
          <cell r="M164">
            <v>1580.2699999999998</v>
          </cell>
          <cell r="N164">
            <v>-70.400000000000006</v>
          </cell>
        </row>
        <row r="165">
          <cell r="D165" t="str">
            <v>UNM CARE PROGRAM</v>
          </cell>
          <cell r="E165" t="str">
            <v>NEW A/R</v>
          </cell>
          <cell r="F165">
            <v>168121.74</v>
          </cell>
          <cell r="G165">
            <v>7267.58</v>
          </cell>
          <cell r="H165">
            <v>6013.92</v>
          </cell>
          <cell r="I165">
            <v>1107.25</v>
          </cell>
          <cell r="J165">
            <v>15.73</v>
          </cell>
          <cell r="K165">
            <v>313</v>
          </cell>
          <cell r="L165">
            <v>-795.68</v>
          </cell>
          <cell r="M165">
            <v>182043.54</v>
          </cell>
          <cell r="N165">
            <v>640.30000000000007</v>
          </cell>
        </row>
        <row r="166">
          <cell r="D166" t="str">
            <v>UNM EOHS</v>
          </cell>
          <cell r="E166" t="str">
            <v>NEW A/R</v>
          </cell>
          <cell r="F166">
            <v>3752.1</v>
          </cell>
          <cell r="G166">
            <v>333</v>
          </cell>
          <cell r="H166">
            <v>135</v>
          </cell>
          <cell r="I166">
            <v>318</v>
          </cell>
          <cell r="J166">
            <v>118</v>
          </cell>
          <cell r="K166">
            <v>56</v>
          </cell>
          <cell r="L166">
            <v>9040.11</v>
          </cell>
          <cell r="M166">
            <v>13752.210000000001</v>
          </cell>
          <cell r="N166">
            <v>9532.11</v>
          </cell>
        </row>
        <row r="167">
          <cell r="D167" t="str">
            <v>UNMMG SELF PAY REVIEW</v>
          </cell>
          <cell r="E167" t="str">
            <v>NEW A/R</v>
          </cell>
          <cell r="F167">
            <v>2408.61</v>
          </cell>
          <cell r="G167">
            <v>3805.95</v>
          </cell>
          <cell r="H167">
            <v>2791.46</v>
          </cell>
          <cell r="I167">
            <v>2025.22</v>
          </cell>
          <cell r="J167">
            <v>202.19</v>
          </cell>
          <cell r="K167">
            <v>87.4</v>
          </cell>
          <cell r="L167">
            <v>180.87</v>
          </cell>
          <cell r="M167">
            <v>11501.7</v>
          </cell>
          <cell r="N167">
            <v>2495.6799999999998</v>
          </cell>
        </row>
        <row r="168">
          <cell r="D168" t="str">
            <v>V/O DEPARTMENT OF HEALTH</v>
          </cell>
          <cell r="E168" t="str">
            <v>NEW A/R</v>
          </cell>
          <cell r="F168">
            <v>5364.61</v>
          </cell>
          <cell r="G168">
            <v>1090.3399999999999</v>
          </cell>
          <cell r="H168">
            <v>342.76</v>
          </cell>
          <cell r="I168">
            <v>334.06</v>
          </cell>
          <cell r="J168">
            <v>0</v>
          </cell>
          <cell r="K168">
            <v>0</v>
          </cell>
          <cell r="L168">
            <v>-121.36</v>
          </cell>
          <cell r="M168">
            <v>7010.4100000000008</v>
          </cell>
          <cell r="N168">
            <v>212.7</v>
          </cell>
        </row>
        <row r="169">
          <cell r="D169" t="str">
            <v>VA HOSPITAL, REFERRAL</v>
          </cell>
          <cell r="E169" t="str">
            <v>NEW A/R</v>
          </cell>
          <cell r="F169">
            <v>234971.76</v>
          </cell>
          <cell r="G169">
            <v>117755.02</v>
          </cell>
          <cell r="H169">
            <v>75147.73</v>
          </cell>
          <cell r="I169">
            <v>36207.480000000003</v>
          </cell>
          <cell r="J169">
            <v>14096.56</v>
          </cell>
          <cell r="K169">
            <v>26852.86</v>
          </cell>
          <cell r="L169">
            <v>42207.18</v>
          </cell>
          <cell r="M169">
            <v>547238.59</v>
          </cell>
          <cell r="N169">
            <v>119364.07999999999</v>
          </cell>
        </row>
        <row r="170">
          <cell r="D170" t="str">
            <v>VALENCIA COUNTY (INDIGENT) FUND</v>
          </cell>
          <cell r="E170" t="str">
            <v>NEW A/R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245.57</v>
          </cell>
          <cell r="M170">
            <v>245.57</v>
          </cell>
          <cell r="N170">
            <v>245.57</v>
          </cell>
        </row>
        <row r="171">
          <cell r="D171" t="str">
            <v>VO COORDINATED SERVICES</v>
          </cell>
          <cell r="E171" t="str">
            <v>NEW A/R</v>
          </cell>
          <cell r="F171">
            <v>0</v>
          </cell>
          <cell r="G171">
            <v>0</v>
          </cell>
          <cell r="H171">
            <v>1693</v>
          </cell>
          <cell r="I171">
            <v>87.08</v>
          </cell>
          <cell r="J171">
            <v>-457.5</v>
          </cell>
          <cell r="K171">
            <v>442</v>
          </cell>
          <cell r="L171">
            <v>-798.47</v>
          </cell>
          <cell r="M171">
            <v>966.1099999999999</v>
          </cell>
          <cell r="N171">
            <v>-726.8900000000001</v>
          </cell>
        </row>
        <row r="172">
          <cell r="D172" t="str">
            <v>VO COORDINATED SERVICES APPEAL</v>
          </cell>
          <cell r="E172" t="str">
            <v>NEW A/R</v>
          </cell>
          <cell r="F172">
            <v>91</v>
          </cell>
          <cell r="G172">
            <v>2713</v>
          </cell>
          <cell r="H172">
            <v>1081</v>
          </cell>
          <cell r="I172">
            <v>558</v>
          </cell>
          <cell r="J172">
            <v>386.22</v>
          </cell>
          <cell r="K172">
            <v>0</v>
          </cell>
          <cell r="L172">
            <v>-294.7</v>
          </cell>
          <cell r="M172">
            <v>4534.5200000000004</v>
          </cell>
          <cell r="N172">
            <v>649.52</v>
          </cell>
        </row>
        <row r="173">
          <cell r="D173" t="str">
            <v>VO MANAGED CARE</v>
          </cell>
          <cell r="E173" t="str">
            <v>NEW A/R</v>
          </cell>
          <cell r="F173">
            <v>1396</v>
          </cell>
          <cell r="G173">
            <v>20</v>
          </cell>
          <cell r="H173">
            <v>768.43</v>
          </cell>
          <cell r="I173">
            <v>52.13</v>
          </cell>
          <cell r="J173">
            <v>-1065.5899999999999</v>
          </cell>
          <cell r="K173">
            <v>-1732.33</v>
          </cell>
          <cell r="L173">
            <v>-2833.78</v>
          </cell>
          <cell r="M173">
            <v>-3395.1400000000003</v>
          </cell>
          <cell r="N173">
            <v>-5579.57</v>
          </cell>
        </row>
        <row r="174">
          <cell r="D174" t="str">
            <v>VO MANAGED CARE APPEAL</v>
          </cell>
          <cell r="E174" t="str">
            <v>NEW A/R</v>
          </cell>
          <cell r="F174">
            <v>9524</v>
          </cell>
          <cell r="G174">
            <v>8070</v>
          </cell>
          <cell r="H174">
            <v>9005</v>
          </cell>
          <cell r="I174">
            <v>2711.45</v>
          </cell>
          <cell r="J174">
            <v>319</v>
          </cell>
          <cell r="K174">
            <v>0</v>
          </cell>
          <cell r="L174">
            <v>477.28</v>
          </cell>
          <cell r="M174">
            <v>30106.73</v>
          </cell>
          <cell r="N174">
            <v>3507.7299999999996</v>
          </cell>
        </row>
        <row r="175">
          <cell r="D175" t="str">
            <v>VO RECOUPS</v>
          </cell>
          <cell r="E175" t="str">
            <v>NEW A/R</v>
          </cell>
          <cell r="F175">
            <v>0</v>
          </cell>
          <cell r="G175">
            <v>0</v>
          </cell>
          <cell r="H175">
            <v>438</v>
          </cell>
          <cell r="I175">
            <v>-401</v>
          </cell>
          <cell r="J175">
            <v>0</v>
          </cell>
          <cell r="K175">
            <v>316</v>
          </cell>
          <cell r="L175">
            <v>5484</v>
          </cell>
          <cell r="M175">
            <v>5837</v>
          </cell>
          <cell r="N175">
            <v>5399</v>
          </cell>
        </row>
        <row r="176">
          <cell r="D176" t="str">
            <v>WORKERS COMP APPEAL</v>
          </cell>
          <cell r="E176" t="str">
            <v>NEW A/R</v>
          </cell>
          <cell r="F176">
            <v>54</v>
          </cell>
          <cell r="G176">
            <v>1111</v>
          </cell>
          <cell r="H176">
            <v>5410</v>
          </cell>
          <cell r="I176">
            <v>12627.8</v>
          </cell>
          <cell r="J176">
            <v>1740.49</v>
          </cell>
          <cell r="K176">
            <v>4000.4</v>
          </cell>
          <cell r="L176">
            <v>53606.81</v>
          </cell>
          <cell r="M176">
            <v>78550.5</v>
          </cell>
          <cell r="N176">
            <v>71975.5</v>
          </cell>
        </row>
        <row r="177">
          <cell r="D177" t="str">
            <v>WORKERS COMPENSATION</v>
          </cell>
          <cell r="E177" t="str">
            <v>NEW A/R</v>
          </cell>
          <cell r="F177">
            <v>232440.8</v>
          </cell>
          <cell r="G177">
            <v>115269.5</v>
          </cell>
          <cell r="H177">
            <v>30447.08</v>
          </cell>
          <cell r="I177">
            <v>21294.6</v>
          </cell>
          <cell r="J177">
            <v>21895</v>
          </cell>
          <cell r="K177">
            <v>5185.6000000000004</v>
          </cell>
          <cell r="L177">
            <v>8939.74</v>
          </cell>
          <cell r="M177">
            <v>435472.31999999995</v>
          </cell>
          <cell r="N177">
            <v>57314.939999999995</v>
          </cell>
        </row>
        <row r="178">
          <cell r="D178" t="str">
            <v>WORKERS COMPENSATION HOSPITAL EMPLOYEES</v>
          </cell>
          <cell r="E178" t="str">
            <v>NEW A/R</v>
          </cell>
          <cell r="F178">
            <v>31843.3</v>
          </cell>
          <cell r="G178">
            <v>6826</v>
          </cell>
          <cell r="H178">
            <v>15221.7</v>
          </cell>
          <cell r="I178">
            <v>4265</v>
          </cell>
          <cell r="J178">
            <v>380</v>
          </cell>
          <cell r="K178">
            <v>1591</v>
          </cell>
          <cell r="L178">
            <v>8698.5</v>
          </cell>
          <cell r="M178">
            <v>68825.5</v>
          </cell>
          <cell r="N178">
            <v>14934.5</v>
          </cell>
        </row>
        <row r="179">
          <cell r="M179">
            <v>0</v>
          </cell>
          <cell r="N17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F1" t="str">
            <v>0-30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bedcount"/>
      <sheetName val="statss_FY2008"/>
      <sheetName val="statss2_FY2008"/>
      <sheetName val="statss3_FY2008"/>
      <sheetName val="statss1 Lab-Rad-Ancill_FY2008"/>
      <sheetName val="budget"/>
      <sheetName val="budget_ASAP"/>
      <sheetName val="budget_CPC"/>
      <sheetName val="budget_UPC"/>
      <sheetName val="budget_disch"/>
      <sheetName val="budget_OR"/>
      <sheetName val="ISROLL_Bud UH_June09 091008v2"/>
      <sheetName val="BUDHRS_Roll UH_as of 10092008"/>
      <sheetName val="budget_CPCdischarge"/>
      <sheetName val="budget_UPCdischarge"/>
    </sheetNames>
    <sheetDataSet>
      <sheetData sheetId="0">
        <row r="7">
          <cell r="B7" t="str">
            <v>3/31/2009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WRVUDATA"/>
    </sheetNames>
    <sheetDataSet>
      <sheetData sheetId="0">
        <row r="5">
          <cell r="B5" t="str">
            <v>53015 - Anesthesiology Total</v>
          </cell>
          <cell r="C5">
            <v>441118.74950000003</v>
          </cell>
          <cell r="D5">
            <v>486344.07019999984</v>
          </cell>
          <cell r="E5">
            <v>542134.56000000006</v>
          </cell>
          <cell r="F5">
            <v>282443.63000000012</v>
          </cell>
          <cell r="G5">
            <v>564887.26000000024</v>
          </cell>
          <cell r="H5">
            <v>612617.56220000004</v>
          </cell>
        </row>
        <row r="6">
          <cell r="B6" t="str">
            <v>53020 - Dermatology Total</v>
          </cell>
          <cell r="C6">
            <v>23404.120000000003</v>
          </cell>
          <cell r="D6">
            <v>24941.26</v>
          </cell>
          <cell r="E6">
            <v>23737.280000000002</v>
          </cell>
          <cell r="F6">
            <v>11884.050499999999</v>
          </cell>
          <cell r="G6">
            <v>20166.100999999999</v>
          </cell>
          <cell r="H6">
            <v>20955.347300000001</v>
          </cell>
        </row>
        <row r="7">
          <cell r="B7" t="str">
            <v>53025 - Emergency Medicine Total</v>
          </cell>
          <cell r="C7">
            <v>174951.20999999996</v>
          </cell>
          <cell r="D7">
            <v>170962.41999999998</v>
          </cell>
          <cell r="E7">
            <v>193044.02000000005</v>
          </cell>
          <cell r="F7">
            <v>101738.80000000002</v>
          </cell>
          <cell r="G7">
            <v>196695.60000000003</v>
          </cell>
          <cell r="H7">
            <v>196695.5986</v>
          </cell>
        </row>
        <row r="8">
          <cell r="B8" t="str">
            <v>53030 - Family and Community Medicine Total</v>
          </cell>
          <cell r="C8">
            <v>99547.010000000009</v>
          </cell>
          <cell r="D8">
            <v>102280.95000000001</v>
          </cell>
          <cell r="E8">
            <v>106378.70000000001</v>
          </cell>
          <cell r="F8">
            <v>56472.297599999998</v>
          </cell>
          <cell r="G8">
            <v>112008.5952</v>
          </cell>
          <cell r="H8">
            <v>117919.93319999998</v>
          </cell>
        </row>
        <row r="9">
          <cell r="B9" t="str">
            <v>ALLERGY IMMUNOLOGY</v>
          </cell>
          <cell r="C9">
            <v>1548.06</v>
          </cell>
          <cell r="D9">
            <v>1561.83</v>
          </cell>
          <cell r="E9">
            <v>2188.6799999999998</v>
          </cell>
          <cell r="F9">
            <v>1061.0308</v>
          </cell>
          <cell r="G9">
            <v>2122.0616</v>
          </cell>
          <cell r="H9">
            <v>2122.0617000000002</v>
          </cell>
        </row>
        <row r="10">
          <cell r="B10" t="str">
            <v>CARDIOLOGY: ELECTROPHYSIOLOGY</v>
          </cell>
          <cell r="C10">
            <v>5245.34</v>
          </cell>
          <cell r="D10">
            <v>4461.68</v>
          </cell>
          <cell r="E10">
            <v>5970.9400000000005</v>
          </cell>
          <cell r="F10">
            <v>3047.1795000000002</v>
          </cell>
          <cell r="G10">
            <v>6094.3590000000004</v>
          </cell>
          <cell r="H10">
            <v>6149.3594000000003</v>
          </cell>
        </row>
        <row r="11">
          <cell r="B11" t="str">
            <v>CARDIOLOGY: INVASIVE</v>
          </cell>
          <cell r="C11">
            <v>12169.669999999998</v>
          </cell>
          <cell r="D11">
            <v>12730.330000000002</v>
          </cell>
          <cell r="E11">
            <v>13363.1</v>
          </cell>
          <cell r="F11">
            <v>6118.3483000000006</v>
          </cell>
          <cell r="G11">
            <v>12236.696600000001</v>
          </cell>
          <cell r="H11">
            <v>15573.176899999999</v>
          </cell>
        </row>
        <row r="12">
          <cell r="B12" t="str">
            <v>CARDIOLOGY: NONINVASIVE</v>
          </cell>
          <cell r="C12">
            <v>37934.04</v>
          </cell>
          <cell r="D12">
            <v>33483.61</v>
          </cell>
          <cell r="E12">
            <v>35565.760000000002</v>
          </cell>
          <cell r="F12">
            <v>18507.262999999999</v>
          </cell>
          <cell r="G12">
            <v>37014.525999999998</v>
          </cell>
          <cell r="H12">
            <v>39260.0003</v>
          </cell>
        </row>
        <row r="13">
          <cell r="B13" t="str">
            <v>CRITICAL CARE</v>
          </cell>
          <cell r="C13">
            <v>0</v>
          </cell>
          <cell r="D13">
            <v>0</v>
          </cell>
          <cell r="E13">
            <v>247.81</v>
          </cell>
          <cell r="F13">
            <v>74.489999999999995</v>
          </cell>
          <cell r="G13">
            <v>148.97999999999999</v>
          </cell>
          <cell r="H13">
            <v>-2.01E-2</v>
          </cell>
        </row>
        <row r="14">
          <cell r="B14" t="str">
            <v>ENDOCRINOLOGY METABOLISM</v>
          </cell>
          <cell r="C14">
            <v>7101.51</v>
          </cell>
          <cell r="D14">
            <v>5966.26</v>
          </cell>
          <cell r="E14">
            <v>5763.87</v>
          </cell>
          <cell r="F14">
            <v>2702.6129000000001</v>
          </cell>
          <cell r="G14">
            <v>5405.2258000000002</v>
          </cell>
          <cell r="H14">
            <v>6089.2251999999999</v>
          </cell>
        </row>
        <row r="15">
          <cell r="B15" t="str">
            <v>GASTROENTEROLOGY</v>
          </cell>
          <cell r="C15">
            <v>58393.359800000006</v>
          </cell>
          <cell r="D15">
            <v>54836.179999999993</v>
          </cell>
          <cell r="E15">
            <v>58151.08</v>
          </cell>
          <cell r="F15">
            <v>25943.706700000002</v>
          </cell>
          <cell r="G15">
            <v>51887.413400000005</v>
          </cell>
          <cell r="H15">
            <v>52569.713199999998</v>
          </cell>
        </row>
        <row r="16">
          <cell r="B16" t="str">
            <v>GENERAL INTERNAL MEDICINE</v>
          </cell>
          <cell r="C16">
            <v>38811.80000000001</v>
          </cell>
          <cell r="D16">
            <v>40798.679999999993</v>
          </cell>
          <cell r="E16">
            <v>37723.300000000003</v>
          </cell>
          <cell r="F16">
            <v>17724.016800000001</v>
          </cell>
          <cell r="G16">
            <v>35448.033600000002</v>
          </cell>
          <cell r="H16">
            <v>35114.85760000001</v>
          </cell>
        </row>
        <row r="17">
          <cell r="B17" t="str">
            <v>GERIATRICS</v>
          </cell>
          <cell r="C17">
            <v>2905.7700000000004</v>
          </cell>
          <cell r="D17">
            <v>1837.49</v>
          </cell>
          <cell r="E17">
            <v>2350.58</v>
          </cell>
          <cell r="F17">
            <v>802.98479999999995</v>
          </cell>
          <cell r="G17">
            <v>1605.9695999999999</v>
          </cell>
          <cell r="H17">
            <v>1833.9697000000001</v>
          </cell>
        </row>
        <row r="18">
          <cell r="B18" t="str">
            <v>HEMATOLOGY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HOSPITALISTS</v>
          </cell>
          <cell r="C19">
            <v>43394.37</v>
          </cell>
          <cell r="D19">
            <v>51057.349999999991</v>
          </cell>
          <cell r="E19">
            <v>67911.14</v>
          </cell>
          <cell r="F19">
            <v>37523.674800000001</v>
          </cell>
          <cell r="G19">
            <v>75047.349600000001</v>
          </cell>
          <cell r="H19">
            <v>76107.342099999994</v>
          </cell>
        </row>
        <row r="20">
          <cell r="B20" t="str">
            <v>INFECTIOUS DISEASE</v>
          </cell>
          <cell r="C20">
            <v>7049.8499999999995</v>
          </cell>
          <cell r="D20">
            <v>7450.17</v>
          </cell>
          <cell r="E20">
            <v>7053.630000000001</v>
          </cell>
          <cell r="F20">
            <v>3086.1666999999998</v>
          </cell>
          <cell r="G20">
            <v>6172.3333999999995</v>
          </cell>
          <cell r="H20">
            <v>13411.3331</v>
          </cell>
        </row>
        <row r="21">
          <cell r="B21" t="str">
            <v>MEDICAL ONCOLOGY WITHOUT INFUSION</v>
          </cell>
          <cell r="C21">
            <v>554.91</v>
          </cell>
          <cell r="D21">
            <v>287.42</v>
          </cell>
          <cell r="E21">
            <v>481.79</v>
          </cell>
          <cell r="F21">
            <v>333.83030000000002</v>
          </cell>
          <cell r="G21">
            <v>667.66060000000004</v>
          </cell>
          <cell r="H21">
            <v>667.66060000000004</v>
          </cell>
        </row>
        <row r="22">
          <cell r="B22" t="str">
            <v>MIDLEVEL PROVIDERS</v>
          </cell>
          <cell r="C22">
            <v>12518.410000000002</v>
          </cell>
          <cell r="D22">
            <v>12571.789999999999</v>
          </cell>
          <cell r="E22">
            <v>8666.7799999999988</v>
          </cell>
          <cell r="F22">
            <v>4607.9516000000003</v>
          </cell>
          <cell r="G22">
            <v>9215.9032000000007</v>
          </cell>
          <cell r="H22">
            <v>9598.0391</v>
          </cell>
        </row>
        <row r="23">
          <cell r="B23" t="str">
            <v>NEPHROLOGY</v>
          </cell>
          <cell r="C23">
            <v>42445.39</v>
          </cell>
          <cell r="D23">
            <v>42832.19</v>
          </cell>
          <cell r="E23">
            <v>48618.69999999999</v>
          </cell>
          <cell r="F23">
            <v>26313.756800000003</v>
          </cell>
          <cell r="G23">
            <v>52627.513600000006</v>
          </cell>
          <cell r="H23">
            <v>54180.873900000006</v>
          </cell>
        </row>
        <row r="24">
          <cell r="B24" t="str">
            <v>NEUROLOGY: SLEEP MEDICINE</v>
          </cell>
          <cell r="C24">
            <v>0</v>
          </cell>
          <cell r="D24">
            <v>0</v>
          </cell>
          <cell r="E24">
            <v>0.48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OTHER PHYSICIAN SPECIALTY OR INACTIVE</v>
          </cell>
          <cell r="C25">
            <v>1924.07</v>
          </cell>
          <cell r="D25">
            <v>632.99</v>
          </cell>
          <cell r="E25">
            <v>2021.02</v>
          </cell>
          <cell r="F25">
            <v>2732.9085999999998</v>
          </cell>
          <cell r="G25">
            <v>5465.8171999999995</v>
          </cell>
          <cell r="H25">
            <v>7088.817</v>
          </cell>
        </row>
        <row r="26">
          <cell r="B26" t="str">
            <v>PALLIATIVE CARE</v>
          </cell>
          <cell r="C26">
            <v>580.91999999999996</v>
          </cell>
          <cell r="D26">
            <v>1091.94</v>
          </cell>
          <cell r="E26">
            <v>3313.29</v>
          </cell>
          <cell r="F26">
            <v>2221.9218000000001</v>
          </cell>
          <cell r="G26">
            <v>4443.8436000000002</v>
          </cell>
          <cell r="H26">
            <v>5947.8436000000002</v>
          </cell>
        </row>
        <row r="27">
          <cell r="B27" t="str">
            <v>PSYCHIATRY</v>
          </cell>
          <cell r="C27">
            <v>76.959999999999994</v>
          </cell>
          <cell r="D27">
            <v>1.5</v>
          </cell>
          <cell r="E27">
            <v>78.77</v>
          </cell>
          <cell r="F27">
            <v>24.408799999999999</v>
          </cell>
          <cell r="G27">
            <v>48.817599999999999</v>
          </cell>
          <cell r="H27">
            <v>0</v>
          </cell>
        </row>
        <row r="28">
          <cell r="B28" t="str">
            <v>PULMONARY DISEASE</v>
          </cell>
          <cell r="C28">
            <v>46341.950000000004</v>
          </cell>
          <cell r="D28">
            <v>42152.79</v>
          </cell>
          <cell r="E28">
            <v>39469.42</v>
          </cell>
          <cell r="F28">
            <v>18686.115699999998</v>
          </cell>
          <cell r="G28">
            <v>37372.231399999997</v>
          </cell>
          <cell r="H28">
            <v>36271.092600000004</v>
          </cell>
        </row>
        <row r="29">
          <cell r="B29" t="str">
            <v>RHEUMATOLOGY</v>
          </cell>
          <cell r="C29">
            <v>9183.18</v>
          </cell>
          <cell r="D29">
            <v>8185.57</v>
          </cell>
          <cell r="E29">
            <v>8461.01</v>
          </cell>
          <cell r="F29">
            <v>3999.0909999999994</v>
          </cell>
          <cell r="G29">
            <v>7998.1819999999989</v>
          </cell>
          <cell r="H29">
            <v>4499.3684000000003</v>
          </cell>
        </row>
        <row r="30">
          <cell r="B30" t="str">
            <v>53035 - Internal Medicine Total</v>
          </cell>
          <cell r="C30">
            <v>328179.55980000005</v>
          </cell>
          <cell r="D30">
            <v>321939.76999999996</v>
          </cell>
          <cell r="E30">
            <v>347401.15</v>
          </cell>
          <cell r="F30">
            <v>175511.4589</v>
          </cell>
          <cell r="G30">
            <v>351022.9178</v>
          </cell>
          <cell r="H30">
            <v>366484.71429999993</v>
          </cell>
        </row>
        <row r="31">
          <cell r="B31" t="str">
            <v>53040 - Neurology Total</v>
          </cell>
          <cell r="C31">
            <v>58691.990000000013</v>
          </cell>
          <cell r="D31">
            <v>56953.509999999995</v>
          </cell>
          <cell r="E31">
            <v>52948.530000000006</v>
          </cell>
          <cell r="F31">
            <v>27994.863299999997</v>
          </cell>
          <cell r="G31">
            <v>57168.726599999995</v>
          </cell>
          <cell r="H31">
            <v>72855.316800000001</v>
          </cell>
        </row>
        <row r="32">
          <cell r="B32" t="str">
            <v>53045 - Neurosurgery Total</v>
          </cell>
          <cell r="C32">
            <v>66213.24010000001</v>
          </cell>
          <cell r="D32">
            <v>64023.73</v>
          </cell>
          <cell r="E32">
            <v>79665.7</v>
          </cell>
          <cell r="F32">
            <v>40990.984599999996</v>
          </cell>
          <cell r="G32">
            <v>86688.969200000007</v>
          </cell>
          <cell r="H32">
            <v>99478.497499999998</v>
          </cell>
        </row>
        <row r="33">
          <cell r="B33" t="str">
            <v>53050 - OB GYN Total</v>
          </cell>
          <cell r="C33">
            <v>130421.68</v>
          </cell>
          <cell r="D33">
            <v>126113.85999999999</v>
          </cell>
          <cell r="E33">
            <v>128804.89</v>
          </cell>
          <cell r="F33">
            <v>61131.404700000014</v>
          </cell>
          <cell r="G33">
            <v>124478.67770000001</v>
          </cell>
          <cell r="H33">
            <v>137926.8597</v>
          </cell>
        </row>
        <row r="34">
          <cell r="B34" t="str">
            <v>ORTHOPEDIC SURGERY: PEDIATRIC</v>
          </cell>
          <cell r="C34">
            <v>28903.240100000003</v>
          </cell>
          <cell r="D34">
            <v>28997.91</v>
          </cell>
          <cell r="E34">
            <v>35401.25</v>
          </cell>
          <cell r="F34">
            <v>20093.6211</v>
          </cell>
          <cell r="G34">
            <v>37079.242200000001</v>
          </cell>
          <cell r="H34">
            <v>33974.977200000001</v>
          </cell>
        </row>
        <row r="35">
          <cell r="B35" t="str">
            <v>53055 - Orthopaedics Total</v>
          </cell>
          <cell r="C35">
            <v>150222.41</v>
          </cell>
          <cell r="D35">
            <v>146544.11000000002</v>
          </cell>
          <cell r="E35">
            <v>150203.89000000001</v>
          </cell>
          <cell r="F35">
            <v>75744.440199999997</v>
          </cell>
          <cell r="G35">
            <v>142245.88039999999</v>
          </cell>
          <cell r="H35">
            <v>160344.1312</v>
          </cell>
        </row>
        <row r="36">
          <cell r="B36" t="str">
            <v>53060 - Pathology Total</v>
          </cell>
          <cell r="C36">
            <v>91341.78</v>
          </cell>
          <cell r="D36">
            <v>92486.32</v>
          </cell>
          <cell r="E36">
            <v>93757.49</v>
          </cell>
          <cell r="F36">
            <v>48062.770099999994</v>
          </cell>
          <cell r="G36">
            <v>97387.592799999999</v>
          </cell>
          <cell r="H36">
            <v>100901.8559</v>
          </cell>
        </row>
        <row r="37">
          <cell r="B37" t="str">
            <v>ALLIED HEALTH PROFESSIONALS</v>
          </cell>
          <cell r="C37">
            <v>0</v>
          </cell>
          <cell r="D37">
            <v>16.88</v>
          </cell>
          <cell r="E37">
            <v>147.78</v>
          </cell>
          <cell r="F37">
            <v>339.3159</v>
          </cell>
          <cell r="G37">
            <v>672.6318</v>
          </cell>
          <cell r="H37">
            <v>722.15189999999996</v>
          </cell>
        </row>
        <row r="38">
          <cell r="B38" t="str">
            <v>FAMILY MEDICINE (WITH OB)</v>
          </cell>
          <cell r="C38">
            <v>55.14</v>
          </cell>
          <cell r="D38">
            <v>252.2</v>
          </cell>
          <cell r="E38">
            <v>174.56</v>
          </cell>
          <cell r="F38">
            <v>18.460799999999999</v>
          </cell>
          <cell r="G38">
            <v>18.921600000000002</v>
          </cell>
          <cell r="H38">
            <v>-7.8299999999999995E-2</v>
          </cell>
        </row>
        <row r="39">
          <cell r="B39" t="str">
            <v>GENERAL INTERNAL MEDICINE</v>
          </cell>
          <cell r="C39">
            <v>92.07</v>
          </cell>
          <cell r="D39">
            <v>88.15</v>
          </cell>
          <cell r="E39">
            <v>43.7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GENETICS</v>
          </cell>
          <cell r="C40">
            <v>2094.8599999999997</v>
          </cell>
          <cell r="D40">
            <v>2218.79</v>
          </cell>
          <cell r="E40">
            <v>2457.7200000000003</v>
          </cell>
          <cell r="F40">
            <v>1271.9947</v>
          </cell>
          <cell r="G40">
            <v>2375.9893999999999</v>
          </cell>
          <cell r="H40">
            <v>2043.6422000000002</v>
          </cell>
        </row>
        <row r="41">
          <cell r="B41" t="str">
            <v>MIDLEVEL PROVIDERS</v>
          </cell>
          <cell r="C41">
            <v>29175.790000000008</v>
          </cell>
          <cell r="D41">
            <v>23111.82</v>
          </cell>
          <cell r="E41">
            <v>20838.62</v>
          </cell>
          <cell r="F41">
            <v>10666.221299999999</v>
          </cell>
          <cell r="G41">
            <v>23016.442599999998</v>
          </cell>
          <cell r="H41">
            <v>22424.75970000001</v>
          </cell>
        </row>
        <row r="42">
          <cell r="B42" t="str">
            <v>MIDWIFERY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None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OTHER PHYSICIAN SPECIALTY OR INACTIVE</v>
          </cell>
          <cell r="C44">
            <v>2747.16</v>
          </cell>
          <cell r="D44">
            <v>9666.49</v>
          </cell>
          <cell r="E44">
            <v>8744.48</v>
          </cell>
          <cell r="F44">
            <v>6178.2579999999998</v>
          </cell>
          <cell r="G44">
            <v>13025.516</v>
          </cell>
          <cell r="H44">
            <v>11941.418900000001</v>
          </cell>
        </row>
        <row r="45">
          <cell r="B45" t="str">
            <v>PEDIATRICS: ADOLESCENT MEDICINE</v>
          </cell>
          <cell r="C45">
            <v>404.9</v>
          </cell>
          <cell r="D45">
            <v>430.21</v>
          </cell>
          <cell r="E45">
            <v>364.45</v>
          </cell>
          <cell r="F45">
            <v>1.5</v>
          </cell>
          <cell r="G45">
            <v>3</v>
          </cell>
          <cell r="H45">
            <v>571.99939999999992</v>
          </cell>
        </row>
        <row r="46">
          <cell r="B46" t="str">
            <v>PEDIATRICS: ALLERGY IMMUNOLOGY</v>
          </cell>
          <cell r="C46">
            <v>2185.16</v>
          </cell>
          <cell r="D46">
            <v>1299.22</v>
          </cell>
          <cell r="E46">
            <v>541.64</v>
          </cell>
          <cell r="F46">
            <v>123.4573</v>
          </cell>
          <cell r="G46">
            <v>89.914599999999993</v>
          </cell>
          <cell r="H46">
            <v>1064.9148</v>
          </cell>
        </row>
        <row r="47">
          <cell r="B47" t="str">
            <v>PEDIATRICS: CARDIOLOGY</v>
          </cell>
          <cell r="C47">
            <v>8985.9500000000007</v>
          </cell>
          <cell r="D47">
            <v>9573.9599999999991</v>
          </cell>
          <cell r="E47">
            <v>13820.480000000001</v>
          </cell>
          <cell r="F47">
            <v>6270.2495999999992</v>
          </cell>
          <cell r="G47">
            <v>13307.499199999998</v>
          </cell>
          <cell r="H47">
            <v>15804.472700000002</v>
          </cell>
        </row>
        <row r="48">
          <cell r="B48" t="str">
            <v>PEDIATRICS: CRITICAL CARE</v>
          </cell>
          <cell r="C48">
            <v>29896.38</v>
          </cell>
          <cell r="D48">
            <v>26570.219999999998</v>
          </cell>
          <cell r="E48">
            <v>24608.899999999998</v>
          </cell>
          <cell r="F48">
            <v>14508.051399999998</v>
          </cell>
          <cell r="G48">
            <v>30397.102799999997</v>
          </cell>
          <cell r="H48">
            <v>31934.4077</v>
          </cell>
        </row>
        <row r="49">
          <cell r="B49" t="str">
            <v>PEDIATRICS: DEVELOPMENTAL</v>
          </cell>
          <cell r="C49">
            <v>2230.8900000000003</v>
          </cell>
          <cell r="D49">
            <v>1865.7999999999997</v>
          </cell>
          <cell r="E49">
            <v>1735.95</v>
          </cell>
          <cell r="F49">
            <v>1080.3404</v>
          </cell>
          <cell r="G49">
            <v>3053.6807999999996</v>
          </cell>
          <cell r="H49">
            <v>4249.6810000000005</v>
          </cell>
        </row>
        <row r="50">
          <cell r="B50" t="str">
            <v>PEDIATRICS: ENDOCRINOLOGY</v>
          </cell>
          <cell r="C50">
            <v>1906.09</v>
          </cell>
          <cell r="D50">
            <v>1248.49</v>
          </cell>
          <cell r="E50">
            <v>1785.5600000000002</v>
          </cell>
          <cell r="F50">
            <v>993.21499999999992</v>
          </cell>
          <cell r="G50">
            <v>2493.4299999999998</v>
          </cell>
          <cell r="H50">
            <v>3048.37</v>
          </cell>
        </row>
        <row r="51">
          <cell r="B51" t="str">
            <v>PEDIATRICS: GASTROENTEROLOGY</v>
          </cell>
          <cell r="C51">
            <v>6858.05</v>
          </cell>
          <cell r="D51">
            <v>3670.1399999999994</v>
          </cell>
          <cell r="E51">
            <v>6045.71</v>
          </cell>
          <cell r="F51">
            <v>4021.8711000000008</v>
          </cell>
          <cell r="G51">
            <v>7903.7422000000015</v>
          </cell>
          <cell r="H51">
            <v>12787.004300000001</v>
          </cell>
        </row>
        <row r="52">
          <cell r="B52" t="str">
            <v>PEDIATRICS: GENERAL</v>
          </cell>
          <cell r="C52">
            <v>59729.42</v>
          </cell>
          <cell r="D52">
            <v>57838.470000000016</v>
          </cell>
          <cell r="E52">
            <v>60426.950000000004</v>
          </cell>
          <cell r="F52">
            <v>29028.878999999997</v>
          </cell>
          <cell r="G52">
            <v>57843.758000000002</v>
          </cell>
          <cell r="H52">
            <v>58156.185799999999</v>
          </cell>
        </row>
        <row r="53">
          <cell r="B53" t="str">
            <v>PEDIATRICS: HEMATOLOGY ONCOLOGY</v>
          </cell>
          <cell r="C53">
            <v>13705.549999999997</v>
          </cell>
          <cell r="D53">
            <v>11853.720000000001</v>
          </cell>
          <cell r="E53">
            <v>10126.07</v>
          </cell>
          <cell r="F53">
            <v>4195.9697999999999</v>
          </cell>
          <cell r="G53">
            <v>8866.9395999999997</v>
          </cell>
          <cell r="H53">
            <v>10815.1124</v>
          </cell>
        </row>
        <row r="54">
          <cell r="B54" t="str">
            <v>PEDIATRICS: HOSPITALISTS</v>
          </cell>
          <cell r="C54">
            <v>20658.38</v>
          </cell>
          <cell r="D54">
            <v>23042.760000000002</v>
          </cell>
          <cell r="E54">
            <v>22810.51</v>
          </cell>
          <cell r="F54">
            <v>7807.9108999999999</v>
          </cell>
          <cell r="G54">
            <v>17551.821800000002</v>
          </cell>
          <cell r="H54">
            <v>18462.748999999996</v>
          </cell>
        </row>
        <row r="55">
          <cell r="B55" t="str">
            <v>PEDIATRICS: INFECTIOUS DISEASE</v>
          </cell>
          <cell r="C55">
            <v>3141.2599999999998</v>
          </cell>
          <cell r="D55">
            <v>1822.67</v>
          </cell>
          <cell r="E55">
            <v>2641.06</v>
          </cell>
          <cell r="F55">
            <v>1441.6732999999999</v>
          </cell>
          <cell r="G55">
            <v>2987.3465999999999</v>
          </cell>
          <cell r="H55">
            <v>3136.0290999999997</v>
          </cell>
        </row>
        <row r="56">
          <cell r="B56" t="str">
            <v>PEDIATRICS: NEONATAL MEDICINE</v>
          </cell>
          <cell r="C56">
            <v>74887.140200000009</v>
          </cell>
          <cell r="D56">
            <v>69286.320200000002</v>
          </cell>
          <cell r="E56">
            <v>69331.73</v>
          </cell>
          <cell r="F56">
            <v>29921.4431</v>
          </cell>
          <cell r="G56">
            <v>63154.886200000001</v>
          </cell>
          <cell r="H56">
            <v>65455.25970000001</v>
          </cell>
        </row>
        <row r="57">
          <cell r="B57" t="str">
            <v>PEDIATRICS: NEPHROLOGY</v>
          </cell>
          <cell r="C57">
            <v>6194.93</v>
          </cell>
          <cell r="D57">
            <v>5580.78</v>
          </cell>
          <cell r="E57">
            <v>6469.3099999999995</v>
          </cell>
          <cell r="F57">
            <v>3220.5419000000002</v>
          </cell>
          <cell r="G57">
            <v>6645.0838000000003</v>
          </cell>
          <cell r="H57">
            <v>6983.4396999999999</v>
          </cell>
        </row>
        <row r="58">
          <cell r="B58" t="str">
            <v>PEDIATRICS: NEUROLOGY</v>
          </cell>
          <cell r="C58">
            <v>993.62</v>
          </cell>
          <cell r="D58">
            <v>1121.77</v>
          </cell>
          <cell r="E58">
            <v>1024.1499999999999</v>
          </cell>
          <cell r="F58">
            <v>438.70680000000004</v>
          </cell>
          <cell r="G58">
            <v>877.41360000000009</v>
          </cell>
          <cell r="H58">
            <v>921.28410000000008</v>
          </cell>
        </row>
        <row r="59">
          <cell r="B59" t="str">
            <v>PEDIATRICS: PSYCHIATRY</v>
          </cell>
          <cell r="C59">
            <v>1270.02</v>
          </cell>
          <cell r="D59">
            <v>1574.04</v>
          </cell>
          <cell r="E59">
            <v>1633.28</v>
          </cell>
          <cell r="F59">
            <v>682.7337</v>
          </cell>
          <cell r="G59">
            <v>1530.4674</v>
          </cell>
          <cell r="H59">
            <v>1606.9904999999999</v>
          </cell>
        </row>
        <row r="60">
          <cell r="B60" t="str">
            <v>PEDIATRICS: PULMONOLOGY</v>
          </cell>
          <cell r="C60">
            <v>8592.15</v>
          </cell>
          <cell r="D60">
            <v>5918.4900000000007</v>
          </cell>
          <cell r="E60">
            <v>5660.4800000000005</v>
          </cell>
          <cell r="F60">
            <v>2852.3303999999998</v>
          </cell>
          <cell r="G60">
            <v>5894.6607999999997</v>
          </cell>
          <cell r="H60">
            <v>5835.1320999999998</v>
          </cell>
        </row>
        <row r="61">
          <cell r="B61" t="str">
            <v>PEDIATRICS: REHABILITATION</v>
          </cell>
          <cell r="C61">
            <v>1131.18</v>
          </cell>
          <cell r="D61">
            <v>882.21</v>
          </cell>
          <cell r="E61">
            <v>694.63</v>
          </cell>
          <cell r="F61">
            <v>393.18520000000001</v>
          </cell>
          <cell r="G61">
            <v>786.37040000000002</v>
          </cell>
          <cell r="H61">
            <v>825.6884</v>
          </cell>
        </row>
        <row r="62">
          <cell r="B62" t="str">
            <v>PEDIATRICS: RHEUMATOLOGY</v>
          </cell>
          <cell r="C62">
            <v>2408.7199999999998</v>
          </cell>
          <cell r="D62">
            <v>2182.0300000000002</v>
          </cell>
          <cell r="E62">
            <v>2015.88</v>
          </cell>
          <cell r="F62">
            <v>338.89530000000002</v>
          </cell>
          <cell r="G62">
            <v>341.79059999999998</v>
          </cell>
          <cell r="H62">
            <v>0</v>
          </cell>
        </row>
        <row r="63">
          <cell r="B63" t="str">
            <v>PHYSICAL THERAPY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PSYCHIATRY</v>
          </cell>
          <cell r="C64">
            <v>50.08</v>
          </cell>
          <cell r="D64">
            <v>77.78</v>
          </cell>
          <cell r="E64">
            <v>23.88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PSYCHOLOGY</v>
          </cell>
          <cell r="C65">
            <v>7433.1600000000008</v>
          </cell>
          <cell r="D65">
            <v>7367.8799999999992</v>
          </cell>
          <cell r="E65">
            <v>7733.4100000000017</v>
          </cell>
          <cell r="F65">
            <v>2473.6001000000001</v>
          </cell>
          <cell r="G65">
            <v>5462.2002000000002</v>
          </cell>
          <cell r="H65">
            <v>5707.1553999999996</v>
          </cell>
        </row>
        <row r="66">
          <cell r="B66" t="str">
            <v>53065 - Pediatrics Total</v>
          </cell>
          <cell r="C66">
            <v>286828.0502</v>
          </cell>
          <cell r="D66">
            <v>268561.29020000005</v>
          </cell>
          <cell r="E66">
            <v>271900.88999999996</v>
          </cell>
          <cell r="F66">
            <v>128268.80500000001</v>
          </cell>
          <cell r="G66">
            <v>268300.61000000004</v>
          </cell>
          <cell r="H66">
            <v>284497.77049999993</v>
          </cell>
        </row>
        <row r="67">
          <cell r="B67" t="str">
            <v>53070 - Psychiatry Total</v>
          </cell>
          <cell r="C67">
            <v>75375.38</v>
          </cell>
          <cell r="D67">
            <v>89408.98000000001</v>
          </cell>
          <cell r="E67">
            <v>99198.340000000026</v>
          </cell>
          <cell r="F67">
            <v>47984.844400000002</v>
          </cell>
          <cell r="G67">
            <v>100057.6888</v>
          </cell>
          <cell r="H67">
            <v>104961.90819999999</v>
          </cell>
        </row>
        <row r="68">
          <cell r="B68" t="str">
            <v>53075 - Radiology Total</v>
          </cell>
          <cell r="C68">
            <v>187174.81979999997</v>
          </cell>
          <cell r="D68">
            <v>191185.39</v>
          </cell>
          <cell r="E68">
            <v>200571.43</v>
          </cell>
          <cell r="F68">
            <v>82855.97</v>
          </cell>
          <cell r="G68">
            <v>169619.94</v>
          </cell>
          <cell r="H68">
            <v>177786.0379</v>
          </cell>
        </row>
        <row r="69">
          <cell r="B69" t="str">
            <v>CRITICAL CARE</v>
          </cell>
          <cell r="C69">
            <v>188.98</v>
          </cell>
          <cell r="D69">
            <v>0</v>
          </cell>
          <cell r="E69">
            <v>5.66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DENTAL SERVICES</v>
          </cell>
          <cell r="C70">
            <v>0</v>
          </cell>
          <cell r="D70">
            <v>0</v>
          </cell>
          <cell r="E70">
            <v>0</v>
          </cell>
          <cell r="F70">
            <v>168.255</v>
          </cell>
          <cell r="G70">
            <v>336.51</v>
          </cell>
          <cell r="H70">
            <v>336.51009999999997</v>
          </cell>
        </row>
        <row r="71">
          <cell r="B71" t="str">
            <v>MIDLEVEL PROVIDERS</v>
          </cell>
          <cell r="C71">
            <v>1668.6599999999999</v>
          </cell>
          <cell r="D71">
            <v>1411.8899999999999</v>
          </cell>
          <cell r="E71">
            <v>1741.83</v>
          </cell>
          <cell r="F71">
            <v>1181.5614</v>
          </cell>
          <cell r="G71">
            <v>2363.1228000000001</v>
          </cell>
          <cell r="H71">
            <v>2363.1229999999996</v>
          </cell>
        </row>
        <row r="72">
          <cell r="B72" t="str">
            <v>OTHER PHYSICIAN SPECIALTY OR INACTIVE</v>
          </cell>
          <cell r="C72">
            <v>372.33000000000004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Ophthalmology</v>
          </cell>
          <cell r="C73">
            <v>0</v>
          </cell>
          <cell r="D73">
            <v>37171.19</v>
          </cell>
          <cell r="E73">
            <v>39606.949999999997</v>
          </cell>
          <cell r="F73">
            <v>17231.148399999998</v>
          </cell>
          <cell r="G73">
            <v>35644.296799999996</v>
          </cell>
          <cell r="H73">
            <v>41567.296300000002</v>
          </cell>
        </row>
        <row r="74">
          <cell r="B74" t="str">
            <v>OTORHINOLARYNGOLOGY</v>
          </cell>
          <cell r="C74">
            <v>27889.91</v>
          </cell>
          <cell r="D74">
            <v>34749.19</v>
          </cell>
          <cell r="E74">
            <v>33300.68</v>
          </cell>
          <cell r="F74">
            <v>18355.380200000003</v>
          </cell>
          <cell r="G74">
            <v>37805.020400000001</v>
          </cell>
          <cell r="H74">
            <v>49755.220699999998</v>
          </cell>
        </row>
        <row r="75">
          <cell r="B75" t="str">
            <v>PEDIATRICS: OTORHINOLARYNGOLOGY</v>
          </cell>
          <cell r="C75">
            <v>7903.11</v>
          </cell>
          <cell r="D75">
            <v>8377.34</v>
          </cell>
          <cell r="E75">
            <v>8319.15</v>
          </cell>
          <cell r="F75">
            <v>5235.4209000000001</v>
          </cell>
          <cell r="G75">
            <v>10953.8418</v>
          </cell>
          <cell r="H75">
            <v>11953.841699999999</v>
          </cell>
        </row>
        <row r="76">
          <cell r="B76" t="str">
            <v>SURGERY: COLON AND RECTAL</v>
          </cell>
          <cell r="C76">
            <v>2739.57</v>
          </cell>
          <cell r="D76">
            <v>2338.83</v>
          </cell>
          <cell r="E76">
            <v>3412.47</v>
          </cell>
          <cell r="F76">
            <v>1501.6889000000001</v>
          </cell>
          <cell r="G76">
            <v>3003.3778000000002</v>
          </cell>
          <cell r="H76">
            <v>2932.3773999999999</v>
          </cell>
        </row>
        <row r="77">
          <cell r="B77" t="str">
            <v>SURGERY: GENERAL</v>
          </cell>
          <cell r="C77">
            <v>45196.290099999998</v>
          </cell>
          <cell r="D77">
            <v>43274.610100000005</v>
          </cell>
          <cell r="E77">
            <v>43111.56</v>
          </cell>
          <cell r="F77">
            <v>19217.339</v>
          </cell>
          <cell r="G77">
            <v>38306.648000000001</v>
          </cell>
          <cell r="H77">
            <v>35958.6486</v>
          </cell>
        </row>
        <row r="78">
          <cell r="B78" t="str">
            <v>SURGERY: PEDIATRIC</v>
          </cell>
          <cell r="C78">
            <v>16773.11</v>
          </cell>
          <cell r="D78">
            <v>14100.9</v>
          </cell>
          <cell r="E78">
            <v>16252.220000000001</v>
          </cell>
          <cell r="F78">
            <v>7439.0300999999999</v>
          </cell>
          <cell r="G78">
            <v>14878.0602</v>
          </cell>
          <cell r="H78">
            <v>14878.060000000001</v>
          </cell>
        </row>
        <row r="79">
          <cell r="B79" t="str">
            <v>SURGERY: PLASTIC</v>
          </cell>
          <cell r="C79">
            <v>8588.630000000001</v>
          </cell>
          <cell r="D79">
            <v>10736.36</v>
          </cell>
          <cell r="E79">
            <v>25249.599999999999</v>
          </cell>
          <cell r="F79">
            <v>13714.048999999999</v>
          </cell>
          <cell r="G79">
            <v>27428.097999999998</v>
          </cell>
          <cell r="H79">
            <v>28954.097900000001</v>
          </cell>
        </row>
        <row r="80">
          <cell r="B80" t="str">
            <v>SURGERY: THORACIC</v>
          </cell>
          <cell r="C80">
            <v>19758.22</v>
          </cell>
          <cell r="D80">
            <v>20406.260000000002</v>
          </cell>
          <cell r="E80">
            <v>20707.11</v>
          </cell>
          <cell r="F80">
            <v>10340.9827</v>
          </cell>
          <cell r="G80">
            <v>20300.9054</v>
          </cell>
          <cell r="H80">
            <v>19915.905299999999</v>
          </cell>
        </row>
        <row r="81">
          <cell r="B81" t="str">
            <v>SURGERY: TRAUMA</v>
          </cell>
          <cell r="C81">
            <v>24714.86</v>
          </cell>
          <cell r="D81">
            <v>25240.21</v>
          </cell>
          <cell r="E81">
            <v>29168.09</v>
          </cell>
          <cell r="F81">
            <v>15829.897000000001</v>
          </cell>
          <cell r="G81">
            <v>31659.794000000002</v>
          </cell>
          <cell r="H81">
            <v>32496.793999999998</v>
          </cell>
        </row>
        <row r="82">
          <cell r="B82" t="str">
            <v>SURGERY: VASCULAR</v>
          </cell>
          <cell r="C82">
            <v>16609.9499</v>
          </cell>
          <cell r="D82">
            <v>21353.96</v>
          </cell>
          <cell r="E82">
            <v>23885.329999999998</v>
          </cell>
          <cell r="F82">
            <v>13487.492099999999</v>
          </cell>
          <cell r="G82">
            <v>26974.984199999999</v>
          </cell>
          <cell r="H82">
            <v>28223.9843</v>
          </cell>
        </row>
        <row r="83">
          <cell r="B83" t="str">
            <v>SURGICAL: ONCOLOGY</v>
          </cell>
          <cell r="C83">
            <v>12714.27</v>
          </cell>
          <cell r="D83">
            <v>15071.3</v>
          </cell>
          <cell r="E83">
            <v>20832.689999999999</v>
          </cell>
          <cell r="F83">
            <v>10435.467099999998</v>
          </cell>
          <cell r="G83">
            <v>18662.667200000004</v>
          </cell>
          <cell r="H83">
            <v>20758.667100000002</v>
          </cell>
        </row>
        <row r="84">
          <cell r="B84" t="str">
            <v>UROLOGY</v>
          </cell>
          <cell r="C84">
            <v>20454.950000000004</v>
          </cell>
          <cell r="D84">
            <v>21571.02</v>
          </cell>
          <cell r="E84">
            <v>29777.219999999998</v>
          </cell>
          <cell r="F84">
            <v>15077.337800000001</v>
          </cell>
          <cell r="G84">
            <v>31568.635600000001</v>
          </cell>
          <cell r="H84">
            <v>31369.635599999998</v>
          </cell>
        </row>
        <row r="85">
          <cell r="B85" t="str">
            <v>53080 - Surgery Total</v>
          </cell>
          <cell r="C85">
            <v>240443.06000000003</v>
          </cell>
          <cell r="D85">
            <v>255803.06009999997</v>
          </cell>
          <cell r="E85">
            <v>295370.55999999994</v>
          </cell>
          <cell r="F85">
            <v>149215.04960000003</v>
          </cell>
          <cell r="G85">
            <v>299885.96220000001</v>
          </cell>
          <cell r="H85">
            <v>321464.16200000001</v>
          </cell>
        </row>
        <row r="86">
          <cell r="B86" t="str">
            <v>53100 - UNM Cancer Center Total</v>
          </cell>
          <cell r="C86">
            <v>92718.49</v>
          </cell>
          <cell r="D86">
            <v>108319.11</v>
          </cell>
          <cell r="E86">
            <v>107522.84000000001</v>
          </cell>
          <cell r="F86">
            <v>51337.930000000008</v>
          </cell>
          <cell r="G86">
            <v>103710.50000000004</v>
          </cell>
          <cell r="H86">
            <v>104932.9028</v>
          </cell>
        </row>
        <row r="87">
          <cell r="B87" t="str">
            <v>57000 - SRMC - Midlevel Providers Total</v>
          </cell>
          <cell r="C87">
            <v>0</v>
          </cell>
          <cell r="D87">
            <v>0</v>
          </cell>
          <cell r="E87">
            <v>2386.44</v>
          </cell>
          <cell r="F87">
            <v>4603.0186000000003</v>
          </cell>
          <cell r="G87">
            <v>10615.4025</v>
          </cell>
          <cell r="H87">
            <v>15702.9529</v>
          </cell>
        </row>
        <row r="88">
          <cell r="B88" t="str">
            <v>57015 - SRMC Anesthesiology Total</v>
          </cell>
          <cell r="C88">
            <v>25608.37</v>
          </cell>
          <cell r="D88">
            <v>71956.49010000001</v>
          </cell>
          <cell r="E88">
            <v>99768.499999999985</v>
          </cell>
          <cell r="F88">
            <v>66311.580000000016</v>
          </cell>
          <cell r="G88">
            <v>122805.01999999999</v>
          </cell>
          <cell r="H88">
            <v>137649.55100000001</v>
          </cell>
        </row>
        <row r="89">
          <cell r="B89" t="str">
            <v>57025 - SRMC Emergency Medicine Total</v>
          </cell>
          <cell r="C89">
            <v>23589.25</v>
          </cell>
          <cell r="D89">
            <v>30360.220000000012</v>
          </cell>
          <cell r="E89">
            <v>34127.89</v>
          </cell>
          <cell r="F89">
            <v>18857.150000000001</v>
          </cell>
          <cell r="G89">
            <v>37714.300000000003</v>
          </cell>
          <cell r="H89">
            <v>44880.015800000008</v>
          </cell>
        </row>
        <row r="90">
          <cell r="B90" t="str">
            <v>57030 - SRMC Family and Community Medicine Total</v>
          </cell>
          <cell r="C90">
            <v>8782.4500000000007</v>
          </cell>
          <cell r="D90">
            <v>9316.7200000000012</v>
          </cell>
          <cell r="E90">
            <v>12632.16</v>
          </cell>
          <cell r="F90">
            <v>7634.0695999999998</v>
          </cell>
          <cell r="G90">
            <v>15268.1392</v>
          </cell>
          <cell r="H90">
            <v>15668.139200000001</v>
          </cell>
        </row>
        <row r="91">
          <cell r="B91" t="str">
            <v>CARDIOLOGY: NONINVASIVE</v>
          </cell>
          <cell r="C91">
            <v>386.72</v>
          </cell>
          <cell r="D91">
            <v>2547.6999999999998</v>
          </cell>
          <cell r="E91">
            <v>4485.3599999999997</v>
          </cell>
          <cell r="F91">
            <v>2383.3179</v>
          </cell>
          <cell r="G91">
            <v>4766.6358</v>
          </cell>
          <cell r="H91">
            <v>4766.6358</v>
          </cell>
        </row>
        <row r="92">
          <cell r="B92" t="str">
            <v>CRITICAL CARE</v>
          </cell>
          <cell r="C92">
            <v>0</v>
          </cell>
          <cell r="D92">
            <v>0</v>
          </cell>
          <cell r="E92">
            <v>996.14</v>
          </cell>
          <cell r="F92">
            <v>791.02380000000005</v>
          </cell>
          <cell r="G92">
            <v>1582.0476000000001</v>
          </cell>
          <cell r="H92">
            <v>1582.0476000000001</v>
          </cell>
        </row>
        <row r="93">
          <cell r="B93" t="str">
            <v>ENDOCRINOLOGY METABOLISM</v>
          </cell>
          <cell r="C93">
            <v>0</v>
          </cell>
          <cell r="D93">
            <v>0</v>
          </cell>
          <cell r="E93">
            <v>531.6</v>
          </cell>
          <cell r="F93">
            <v>389.99639999999999</v>
          </cell>
          <cell r="G93">
            <v>779.99279999999999</v>
          </cell>
          <cell r="H93">
            <v>779.99270000000001</v>
          </cell>
        </row>
        <row r="94">
          <cell r="B94" t="str">
            <v>GASTROENTEROLOGY</v>
          </cell>
          <cell r="C94">
            <v>483.90999999999997</v>
          </cell>
          <cell r="D94">
            <v>1766.9700000000003</v>
          </cell>
          <cell r="E94">
            <v>1865.2600000000002</v>
          </cell>
          <cell r="F94">
            <v>776.91100000000006</v>
          </cell>
          <cell r="G94">
            <v>1553.8220000000001</v>
          </cell>
          <cell r="H94">
            <v>1553.8220999999999</v>
          </cell>
        </row>
        <row r="95">
          <cell r="B95" t="str">
            <v>GENERAL INTERNAL MEDICINE</v>
          </cell>
          <cell r="C95">
            <v>2346.35</v>
          </cell>
          <cell r="D95">
            <v>297.15000000000003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HOSPITALISTS</v>
          </cell>
          <cell r="C96">
            <v>5616.26</v>
          </cell>
          <cell r="D96">
            <v>10556.48</v>
          </cell>
          <cell r="E96">
            <v>19544.11</v>
          </cell>
          <cell r="F96">
            <v>7755.7369999999992</v>
          </cell>
          <cell r="G96">
            <v>15511.473999999998</v>
          </cell>
          <cell r="H96">
            <v>16252.792500000001</v>
          </cell>
        </row>
        <row r="97">
          <cell r="B97" t="str">
            <v>MIDLEVEL PROVIDERS</v>
          </cell>
          <cell r="C97">
            <v>2269.85</v>
          </cell>
          <cell r="D97">
            <v>6134.8199999999988</v>
          </cell>
          <cell r="E97">
            <v>6477.1500000000005</v>
          </cell>
          <cell r="F97">
            <v>3308.2905000000001</v>
          </cell>
          <cell r="G97">
            <v>6616.5810000000001</v>
          </cell>
          <cell r="H97">
            <v>5656.5355</v>
          </cell>
        </row>
        <row r="98">
          <cell r="B98" t="str">
            <v>NEPHROLOGY</v>
          </cell>
          <cell r="C98">
            <v>309.25</v>
          </cell>
          <cell r="D98">
            <v>1767.57</v>
          </cell>
          <cell r="E98">
            <v>2849.1099999999997</v>
          </cell>
          <cell r="F98">
            <v>1198.1308000000001</v>
          </cell>
          <cell r="G98">
            <v>2396.2616000000003</v>
          </cell>
          <cell r="H98">
            <v>5763.2622999999994</v>
          </cell>
        </row>
        <row r="99">
          <cell r="B99" t="str">
            <v>NEUROLOGY: EPILEPSY EEG</v>
          </cell>
          <cell r="C99">
            <v>0</v>
          </cell>
          <cell r="D99">
            <v>66.599999999999994</v>
          </cell>
          <cell r="E99">
            <v>163.65</v>
          </cell>
          <cell r="F99">
            <v>43.400000000000006</v>
          </cell>
          <cell r="G99">
            <v>86.800000000000011</v>
          </cell>
          <cell r="H99">
            <v>-0.20079999999999998</v>
          </cell>
        </row>
        <row r="100">
          <cell r="B100" t="str">
            <v>OTHER PHYSICIAN SPECIALTY OR INACTIVE</v>
          </cell>
          <cell r="C100">
            <v>0</v>
          </cell>
          <cell r="D100">
            <v>0.48</v>
          </cell>
          <cell r="E100">
            <v>0</v>
          </cell>
          <cell r="F100">
            <v>321.38329999999996</v>
          </cell>
          <cell r="G100">
            <v>642.76659999999993</v>
          </cell>
          <cell r="H100">
            <v>2199.7672000000002</v>
          </cell>
        </row>
        <row r="101">
          <cell r="B101" t="str">
            <v>PULMONARY DISEASE</v>
          </cell>
          <cell r="C101">
            <v>728.81000000000006</v>
          </cell>
          <cell r="D101">
            <v>2873.28</v>
          </cell>
          <cell r="E101">
            <v>4429.3</v>
          </cell>
          <cell r="F101">
            <v>1559.634</v>
          </cell>
          <cell r="G101">
            <v>3119.268</v>
          </cell>
          <cell r="H101">
            <v>4701.2678999999998</v>
          </cell>
        </row>
        <row r="102">
          <cell r="B102" t="str">
            <v>RHEUMATOLOGY</v>
          </cell>
          <cell r="C102">
            <v>2335.15</v>
          </cell>
          <cell r="D102">
            <v>4013.71</v>
          </cell>
          <cell r="E102">
            <v>3733.13</v>
          </cell>
          <cell r="F102">
            <v>1542.3995</v>
          </cell>
          <cell r="G102">
            <v>3084.799</v>
          </cell>
          <cell r="H102">
            <v>2399.7989000000002</v>
          </cell>
        </row>
        <row r="103">
          <cell r="B103" t="str">
            <v>57035 - SRMC Internal Medicine Total</v>
          </cell>
          <cell r="C103">
            <v>14476.3</v>
          </cell>
          <cell r="D103">
            <v>30025.239999999994</v>
          </cell>
          <cell r="E103">
            <v>45074.810000000005</v>
          </cell>
          <cell r="F103">
            <v>20070.224199999997</v>
          </cell>
          <cell r="G103">
            <v>40140.448399999994</v>
          </cell>
          <cell r="H103">
            <v>45655.721700000002</v>
          </cell>
        </row>
        <row r="104">
          <cell r="B104" t="str">
            <v>57040 - SRMC Neurology Total</v>
          </cell>
          <cell r="C104">
            <v>0</v>
          </cell>
          <cell r="D104">
            <v>926.2</v>
          </cell>
          <cell r="E104">
            <v>799.88</v>
          </cell>
          <cell r="F104">
            <v>21.479999999999997</v>
          </cell>
          <cell r="G104">
            <v>42.959999999999994</v>
          </cell>
          <cell r="H104">
            <v>42.960099999999997</v>
          </cell>
        </row>
        <row r="105">
          <cell r="B105" t="str">
            <v>57045 - SRMC Neurosurgery Total</v>
          </cell>
          <cell r="C105">
            <v>81.56</v>
          </cell>
          <cell r="D105">
            <v>401.62</v>
          </cell>
          <cell r="E105">
            <v>2560.1</v>
          </cell>
          <cell r="F105">
            <v>1458.2534000000001</v>
          </cell>
          <cell r="G105">
            <v>4425.5068000000001</v>
          </cell>
          <cell r="H105">
            <v>11986.507300000001</v>
          </cell>
        </row>
        <row r="106">
          <cell r="B106" t="str">
            <v>57050 - SRMC OB GYN Total</v>
          </cell>
          <cell r="C106">
            <v>2349.1</v>
          </cell>
          <cell r="D106">
            <v>5492.0599999999995</v>
          </cell>
          <cell r="E106">
            <v>4917.51</v>
          </cell>
          <cell r="F106">
            <v>2328.69</v>
          </cell>
          <cell r="G106">
            <v>4657.38</v>
          </cell>
          <cell r="H106">
            <v>5363.3629000000001</v>
          </cell>
        </row>
        <row r="107">
          <cell r="B107" t="str">
            <v>57055 - SRMC Orthopaedics Total</v>
          </cell>
          <cell r="C107">
            <v>13047.519999999999</v>
          </cell>
          <cell r="D107">
            <v>20254.189999999999</v>
          </cell>
          <cell r="E107">
            <v>21672.35</v>
          </cell>
          <cell r="F107">
            <v>11179.9043</v>
          </cell>
          <cell r="G107">
            <v>22542.8086</v>
          </cell>
          <cell r="H107">
            <v>27947.836299999995</v>
          </cell>
        </row>
        <row r="108">
          <cell r="B108" t="str">
            <v>57060 - SRMC Pathology Total</v>
          </cell>
          <cell r="C108">
            <v>97.97</v>
          </cell>
          <cell r="D108">
            <v>14.709999999999999</v>
          </cell>
          <cell r="E108">
            <v>16.16</v>
          </cell>
          <cell r="F108">
            <v>18.529999999999998</v>
          </cell>
          <cell r="G108">
            <v>37.059999999999995</v>
          </cell>
          <cell r="H108">
            <v>38.913000000000004</v>
          </cell>
        </row>
        <row r="109">
          <cell r="B109" t="str">
            <v>57070 - SRMC Psychiatry Total</v>
          </cell>
          <cell r="C109">
            <v>1698.09</v>
          </cell>
          <cell r="D109">
            <v>3957.5</v>
          </cell>
          <cell r="E109">
            <v>4536.16</v>
          </cell>
          <cell r="F109">
            <v>2305.6</v>
          </cell>
          <cell r="G109">
            <v>7077.2</v>
          </cell>
          <cell r="H109">
            <v>8729.2841000000008</v>
          </cell>
        </row>
        <row r="110">
          <cell r="B110" t="str">
            <v>57075 - SRMC Radiology Total</v>
          </cell>
          <cell r="C110">
            <v>8786.1200000000008</v>
          </cell>
          <cell r="D110">
            <v>17278.570000000003</v>
          </cell>
          <cell r="E110">
            <v>24642.170000000006</v>
          </cell>
          <cell r="F110">
            <v>11977.180000000002</v>
          </cell>
          <cell r="G110">
            <v>24572.360000000004</v>
          </cell>
          <cell r="H110">
            <v>24568.401300000001</v>
          </cell>
        </row>
        <row r="111">
          <cell r="B111" t="str">
            <v>OTORHINOLARYNGOLOGY</v>
          </cell>
          <cell r="C111">
            <v>497.38</v>
          </cell>
          <cell r="D111">
            <v>3518.84</v>
          </cell>
          <cell r="E111">
            <v>3520.1500000000005</v>
          </cell>
          <cell r="F111">
            <v>1917.4320000000002</v>
          </cell>
          <cell r="G111">
            <v>3684.8640000000005</v>
          </cell>
          <cell r="H111">
            <v>3523.8641000000002</v>
          </cell>
        </row>
        <row r="112">
          <cell r="B112" t="str">
            <v>SURGERY: COLON AND RECTAL</v>
          </cell>
          <cell r="C112">
            <v>3348.39</v>
          </cell>
          <cell r="D112">
            <v>3828.89</v>
          </cell>
          <cell r="E112">
            <v>4267.03</v>
          </cell>
          <cell r="F112">
            <v>2282.9702000000002</v>
          </cell>
          <cell r="G112">
            <v>4565.9404000000004</v>
          </cell>
          <cell r="H112">
            <v>4565.9404000000004</v>
          </cell>
        </row>
        <row r="113">
          <cell r="B113" t="str">
            <v>SURGERY: GENERAL</v>
          </cell>
          <cell r="C113">
            <v>5078.78</v>
          </cell>
          <cell r="D113">
            <v>8050.55</v>
          </cell>
          <cell r="E113">
            <v>8624.84</v>
          </cell>
          <cell r="F113">
            <v>4490.3865999999998</v>
          </cell>
          <cell r="G113">
            <v>5996.7731999999996</v>
          </cell>
          <cell r="H113">
            <v>5202.7734</v>
          </cell>
        </row>
        <row r="114">
          <cell r="B114" t="str">
            <v>SURGERY: PLASTIC</v>
          </cell>
          <cell r="C114">
            <v>406.38</v>
          </cell>
          <cell r="D114">
            <v>1269.22</v>
          </cell>
          <cell r="E114">
            <v>1462.66</v>
          </cell>
          <cell r="F114">
            <v>800.45690000000002</v>
          </cell>
          <cell r="G114">
            <v>1594.9138</v>
          </cell>
          <cell r="H114">
            <v>1588.9137000000001</v>
          </cell>
        </row>
        <row r="115">
          <cell r="B115" t="str">
            <v>SURGERY: TRAUMA</v>
          </cell>
          <cell r="C115">
            <v>99.45</v>
          </cell>
          <cell r="D115">
            <v>0.76</v>
          </cell>
          <cell r="E115">
            <v>0</v>
          </cell>
          <cell r="F115">
            <v>0</v>
          </cell>
          <cell r="G115">
            <v>0</v>
          </cell>
          <cell r="H115">
            <v>5000.0001000000002</v>
          </cell>
        </row>
        <row r="116">
          <cell r="B116" t="str">
            <v>SURGERY: VASCULAR</v>
          </cell>
          <cell r="C116">
            <v>0</v>
          </cell>
          <cell r="D116">
            <v>60.55</v>
          </cell>
          <cell r="E116">
            <v>23.53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SURGICAL: ONCOLOGY</v>
          </cell>
          <cell r="C117">
            <v>0</v>
          </cell>
          <cell r="D117">
            <v>19.059999999999999</v>
          </cell>
          <cell r="E117">
            <v>798.94</v>
          </cell>
          <cell r="F117">
            <v>779.32159999999999</v>
          </cell>
          <cell r="G117">
            <v>1540.6432</v>
          </cell>
          <cell r="H117">
            <v>1525.6432000000002</v>
          </cell>
        </row>
        <row r="118">
          <cell r="B118" t="str">
            <v>UROLOGY</v>
          </cell>
          <cell r="C118">
            <v>1166.0899999999999</v>
          </cell>
          <cell r="D118">
            <v>4079.98</v>
          </cell>
          <cell r="E118">
            <v>2840.28</v>
          </cell>
          <cell r="F118">
            <v>1263.7956999999999</v>
          </cell>
          <cell r="G118">
            <v>2527.5913999999998</v>
          </cell>
          <cell r="H118">
            <v>2527.5915</v>
          </cell>
        </row>
        <row r="119">
          <cell r="B119" t="str">
            <v>57080 - SRMC Surgery Total</v>
          </cell>
          <cell r="C119">
            <v>10596.47</v>
          </cell>
          <cell r="D119">
            <v>20827.849999999999</v>
          </cell>
          <cell r="E119">
            <v>21537.429999999997</v>
          </cell>
          <cell r="F119">
            <v>11534.362999999999</v>
          </cell>
          <cell r="G119">
            <v>19910.726000000002</v>
          </cell>
          <cell r="H119">
            <v>23934.7264</v>
          </cell>
        </row>
        <row r="120">
          <cell r="B120" t="str">
            <v>58121 - Albuquerque Health Partners Total</v>
          </cell>
          <cell r="C120">
            <v>0</v>
          </cell>
          <cell r="D120">
            <v>0</v>
          </cell>
          <cell r="E120">
            <v>2419.1999999999998</v>
          </cell>
          <cell r="F120">
            <v>5985.21</v>
          </cell>
          <cell r="G120">
            <v>11970.42</v>
          </cell>
          <cell r="H120">
            <v>11970.420799999998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SUMMARY"/>
      <sheetName val="cth linked"/>
      <sheetName val="cph linked"/>
      <sheetName val="mhc linked"/>
      <sheetName val="casaa linked"/>
      <sheetName val="CIU"/>
      <sheetName val="stats"/>
      <sheetName val="statss"/>
      <sheetName val="statss1"/>
      <sheetName val="ytdclinic"/>
      <sheetName val="statss2"/>
      <sheetName val="Speech"/>
      <sheetName val="statss3 "/>
      <sheetName val="MHC"/>
      <sheetName val="CPH"/>
      <sheetName val="CTH"/>
      <sheetName val="CASAA"/>
      <sheetName val="YCHC"/>
      <sheetName val="Milagro"/>
      <sheetName val="input_rev3_sort"/>
      <sheetName val="other_input"/>
      <sheetName val="APD"/>
      <sheetName val="Mammo"/>
      <sheetName val="trends_stat"/>
      <sheetName val="Total_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6">
          <cell r="J16" t="str">
            <v>July</v>
          </cell>
        </row>
        <row r="17">
          <cell r="K17" t="str">
            <v>Outpatient</v>
          </cell>
        </row>
        <row r="22">
          <cell r="K22">
            <v>298</v>
          </cell>
        </row>
        <row r="23">
          <cell r="K23">
            <v>44</v>
          </cell>
        </row>
        <row r="24">
          <cell r="K24">
            <v>161</v>
          </cell>
        </row>
        <row r="25">
          <cell r="K25">
            <v>631</v>
          </cell>
        </row>
        <row r="26">
          <cell r="K26">
            <v>2</v>
          </cell>
        </row>
        <row r="27">
          <cell r="K27">
            <v>1415</v>
          </cell>
        </row>
        <row r="28">
          <cell r="K28">
            <v>1058</v>
          </cell>
        </row>
        <row r="29">
          <cell r="K29">
            <v>738</v>
          </cell>
        </row>
        <row r="30">
          <cell r="K30">
            <v>33</v>
          </cell>
        </row>
        <row r="32">
          <cell r="K32">
            <v>1162</v>
          </cell>
        </row>
        <row r="34">
          <cell r="K34">
            <v>23</v>
          </cell>
        </row>
        <row r="38">
          <cell r="K38">
            <v>1917</v>
          </cell>
        </row>
        <row r="39">
          <cell r="K39">
            <v>190.5</v>
          </cell>
        </row>
        <row r="40">
          <cell r="K40">
            <v>3153.75</v>
          </cell>
        </row>
        <row r="42">
          <cell r="K42">
            <v>581.5</v>
          </cell>
        </row>
        <row r="46">
          <cell r="K46">
            <v>177</v>
          </cell>
        </row>
        <row r="47">
          <cell r="K47">
            <v>107.5</v>
          </cell>
        </row>
        <row r="48">
          <cell r="K48">
            <v>74.75</v>
          </cell>
        </row>
        <row r="49">
          <cell r="K49">
            <v>257.75</v>
          </cell>
        </row>
        <row r="50">
          <cell r="K50">
            <v>540.25</v>
          </cell>
        </row>
        <row r="58">
          <cell r="K58">
            <v>2478</v>
          </cell>
        </row>
        <row r="59">
          <cell r="K59">
            <v>-36.75</v>
          </cell>
        </row>
        <row r="67">
          <cell r="K67">
            <v>1</v>
          </cell>
        </row>
        <row r="69">
          <cell r="K69">
            <v>1</v>
          </cell>
        </row>
        <row r="71">
          <cell r="K71">
            <v>14</v>
          </cell>
        </row>
        <row r="72">
          <cell r="K72">
            <v>3</v>
          </cell>
        </row>
        <row r="74">
          <cell r="K74">
            <v>2</v>
          </cell>
        </row>
        <row r="75">
          <cell r="K75">
            <v>11</v>
          </cell>
        </row>
        <row r="77">
          <cell r="K77">
            <v>3</v>
          </cell>
        </row>
        <row r="83">
          <cell r="K83">
            <v>14</v>
          </cell>
        </row>
        <row r="85">
          <cell r="K85">
            <v>2</v>
          </cell>
        </row>
        <row r="87">
          <cell r="K87">
            <v>4</v>
          </cell>
        </row>
        <row r="92">
          <cell r="K92">
            <v>82</v>
          </cell>
        </row>
        <row r="93">
          <cell r="K93">
            <v>311</v>
          </cell>
        </row>
        <row r="95">
          <cell r="K95">
            <v>431</v>
          </cell>
        </row>
        <row r="97">
          <cell r="K97">
            <v>-2</v>
          </cell>
        </row>
        <row r="98">
          <cell r="K98">
            <v>434</v>
          </cell>
        </row>
        <row r="99">
          <cell r="K99">
            <v>163</v>
          </cell>
        </row>
        <row r="100">
          <cell r="K100">
            <v>96</v>
          </cell>
        </row>
        <row r="103">
          <cell r="K103">
            <v>21</v>
          </cell>
        </row>
        <row r="104">
          <cell r="K104">
            <v>62</v>
          </cell>
        </row>
        <row r="105">
          <cell r="K105">
            <v>34</v>
          </cell>
        </row>
        <row r="107">
          <cell r="K107">
            <v>36</v>
          </cell>
        </row>
        <row r="110">
          <cell r="K110">
            <v>112</v>
          </cell>
        </row>
        <row r="111">
          <cell r="K111">
            <v>175</v>
          </cell>
        </row>
        <row r="112">
          <cell r="K112">
            <v>83</v>
          </cell>
        </row>
        <row r="121">
          <cell r="K121">
            <v>1</v>
          </cell>
        </row>
        <row r="126">
          <cell r="K126">
            <v>345</v>
          </cell>
        </row>
        <row r="127">
          <cell r="K127">
            <v>108</v>
          </cell>
        </row>
        <row r="128">
          <cell r="K128">
            <v>381</v>
          </cell>
        </row>
        <row r="133">
          <cell r="K133">
            <v>13</v>
          </cell>
        </row>
        <row r="137">
          <cell r="K137">
            <v>10</v>
          </cell>
        </row>
        <row r="138">
          <cell r="K138">
            <v>13</v>
          </cell>
        </row>
        <row r="139">
          <cell r="K139">
            <v>211</v>
          </cell>
        </row>
        <row r="140">
          <cell r="K140">
            <v>1497</v>
          </cell>
        </row>
        <row r="141">
          <cell r="K141">
            <v>17874</v>
          </cell>
        </row>
        <row r="142">
          <cell r="K142">
            <v>8568</v>
          </cell>
        </row>
        <row r="143">
          <cell r="K143">
            <v>614</v>
          </cell>
        </row>
        <row r="144">
          <cell r="K144">
            <v>2206</v>
          </cell>
        </row>
        <row r="145">
          <cell r="K145">
            <v>927</v>
          </cell>
        </row>
        <row r="146">
          <cell r="K146">
            <v>4395</v>
          </cell>
        </row>
        <row r="147">
          <cell r="K147">
            <v>5147</v>
          </cell>
        </row>
        <row r="148">
          <cell r="K148">
            <v>58</v>
          </cell>
        </row>
        <row r="149">
          <cell r="K149">
            <v>1504</v>
          </cell>
        </row>
        <row r="150">
          <cell r="K150">
            <v>1609</v>
          </cell>
        </row>
        <row r="151">
          <cell r="K151">
            <v>1193</v>
          </cell>
        </row>
        <row r="152">
          <cell r="K152">
            <v>51</v>
          </cell>
        </row>
        <row r="153">
          <cell r="K153">
            <v>90</v>
          </cell>
        </row>
        <row r="154">
          <cell r="K154">
            <v>387</v>
          </cell>
        </row>
        <row r="155">
          <cell r="K155">
            <v>630</v>
          </cell>
        </row>
        <row r="157">
          <cell r="K157">
            <v>905</v>
          </cell>
        </row>
        <row r="167">
          <cell r="K167">
            <v>4786</v>
          </cell>
        </row>
        <row r="168">
          <cell r="K168">
            <v>368</v>
          </cell>
        </row>
        <row r="169">
          <cell r="K169">
            <v>2</v>
          </cell>
        </row>
        <row r="170">
          <cell r="K170">
            <v>219</v>
          </cell>
        </row>
        <row r="171">
          <cell r="K171">
            <v>886</v>
          </cell>
        </row>
        <row r="172">
          <cell r="K172">
            <v>52</v>
          </cell>
        </row>
        <row r="176">
          <cell r="K176">
            <v>635</v>
          </cell>
        </row>
        <row r="180">
          <cell r="K180">
            <v>1573</v>
          </cell>
        </row>
        <row r="181">
          <cell r="K181">
            <v>2611</v>
          </cell>
        </row>
        <row r="183">
          <cell r="K183">
            <v>446</v>
          </cell>
        </row>
        <row r="193">
          <cell r="K193">
            <v>94</v>
          </cell>
        </row>
        <row r="194">
          <cell r="K194">
            <v>62</v>
          </cell>
        </row>
        <row r="195">
          <cell r="K195">
            <v>63</v>
          </cell>
        </row>
        <row r="196">
          <cell r="K196">
            <v>5</v>
          </cell>
        </row>
        <row r="197">
          <cell r="K197">
            <v>480</v>
          </cell>
        </row>
        <row r="199">
          <cell r="K199">
            <v>730</v>
          </cell>
        </row>
        <row r="206">
          <cell r="K206">
            <v>1369</v>
          </cell>
        </row>
        <row r="208">
          <cell r="K208">
            <v>238</v>
          </cell>
        </row>
        <row r="209">
          <cell r="K209">
            <v>11</v>
          </cell>
        </row>
        <row r="210">
          <cell r="K210">
            <v>25</v>
          </cell>
        </row>
        <row r="211">
          <cell r="K211">
            <v>379</v>
          </cell>
        </row>
        <row r="212">
          <cell r="K212">
            <v>14</v>
          </cell>
        </row>
        <row r="213">
          <cell r="K213">
            <v>2</v>
          </cell>
        </row>
        <row r="214">
          <cell r="K214">
            <v>94</v>
          </cell>
        </row>
        <row r="216">
          <cell r="K216">
            <v>122</v>
          </cell>
        </row>
        <row r="217">
          <cell r="K217">
            <v>93</v>
          </cell>
        </row>
        <row r="218">
          <cell r="K218">
            <v>136</v>
          </cell>
        </row>
        <row r="219">
          <cell r="K219">
            <v>1652</v>
          </cell>
        </row>
        <row r="220">
          <cell r="K220">
            <v>1</v>
          </cell>
        </row>
        <row r="222">
          <cell r="K222">
            <v>661</v>
          </cell>
        </row>
        <row r="223">
          <cell r="K223">
            <v>932</v>
          </cell>
        </row>
        <row r="224">
          <cell r="K224">
            <v>9</v>
          </cell>
        </row>
        <row r="225">
          <cell r="K225">
            <v>2</v>
          </cell>
        </row>
        <row r="226">
          <cell r="K226">
            <v>0</v>
          </cell>
        </row>
        <row r="227">
          <cell r="K227">
            <v>164</v>
          </cell>
        </row>
        <row r="229">
          <cell r="K229">
            <v>821</v>
          </cell>
        </row>
        <row r="230">
          <cell r="K230">
            <v>456</v>
          </cell>
        </row>
        <row r="231">
          <cell r="K231">
            <v>181</v>
          </cell>
        </row>
        <row r="234">
          <cell r="K234">
            <v>375</v>
          </cell>
        </row>
        <row r="235">
          <cell r="K235">
            <v>76</v>
          </cell>
        </row>
        <row r="236">
          <cell r="K236">
            <v>139</v>
          </cell>
        </row>
        <row r="237">
          <cell r="K237">
            <v>962</v>
          </cell>
        </row>
        <row r="238">
          <cell r="K238">
            <v>134</v>
          </cell>
        </row>
        <row r="239">
          <cell r="K239">
            <v>140</v>
          </cell>
        </row>
        <row r="240">
          <cell r="K240">
            <v>304</v>
          </cell>
        </row>
        <row r="241">
          <cell r="K241">
            <v>28</v>
          </cell>
        </row>
        <row r="242">
          <cell r="K242">
            <v>293</v>
          </cell>
        </row>
        <row r="243">
          <cell r="K243">
            <v>289</v>
          </cell>
        </row>
        <row r="245">
          <cell r="K245">
            <v>22</v>
          </cell>
        </row>
        <row r="246">
          <cell r="K246">
            <v>94</v>
          </cell>
        </row>
        <row r="247">
          <cell r="K247">
            <v>73</v>
          </cell>
        </row>
        <row r="248">
          <cell r="K248">
            <v>68</v>
          </cell>
        </row>
        <row r="249">
          <cell r="K249">
            <v>103</v>
          </cell>
        </row>
        <row r="250">
          <cell r="K250">
            <v>547</v>
          </cell>
        </row>
        <row r="252">
          <cell r="K252">
            <v>79</v>
          </cell>
        </row>
        <row r="253">
          <cell r="K253">
            <v>1039</v>
          </cell>
        </row>
        <row r="254">
          <cell r="K254">
            <v>1520</v>
          </cell>
        </row>
        <row r="255">
          <cell r="K255">
            <v>594</v>
          </cell>
        </row>
        <row r="256">
          <cell r="K256">
            <v>898</v>
          </cell>
        </row>
        <row r="257">
          <cell r="K257">
            <v>143</v>
          </cell>
        </row>
        <row r="258">
          <cell r="K258">
            <v>298</v>
          </cell>
        </row>
        <row r="259">
          <cell r="K259">
            <v>294</v>
          </cell>
        </row>
        <row r="260">
          <cell r="K260">
            <v>378</v>
          </cell>
        </row>
        <row r="261">
          <cell r="K261">
            <v>530</v>
          </cell>
        </row>
        <row r="262">
          <cell r="K262">
            <v>111</v>
          </cell>
        </row>
        <row r="263">
          <cell r="K263">
            <v>59</v>
          </cell>
        </row>
        <row r="264">
          <cell r="K264">
            <v>64</v>
          </cell>
        </row>
        <row r="265">
          <cell r="K265">
            <v>13</v>
          </cell>
        </row>
        <row r="266">
          <cell r="K266">
            <v>136</v>
          </cell>
        </row>
        <row r="267">
          <cell r="K267">
            <v>244</v>
          </cell>
        </row>
        <row r="269">
          <cell r="K269">
            <v>26</v>
          </cell>
        </row>
        <row r="270">
          <cell r="K270">
            <v>84</v>
          </cell>
        </row>
        <row r="271">
          <cell r="K271">
            <v>17</v>
          </cell>
        </row>
        <row r="272">
          <cell r="K272">
            <v>174</v>
          </cell>
        </row>
        <row r="273">
          <cell r="K273">
            <v>451</v>
          </cell>
        </row>
        <row r="274">
          <cell r="K274">
            <v>201</v>
          </cell>
        </row>
        <row r="275">
          <cell r="K275">
            <v>546</v>
          </cell>
        </row>
        <row r="276">
          <cell r="K276">
            <v>439</v>
          </cell>
        </row>
        <row r="277">
          <cell r="K277">
            <v>1637</v>
          </cell>
        </row>
        <row r="278">
          <cell r="K278">
            <v>653</v>
          </cell>
        </row>
        <row r="279">
          <cell r="K279">
            <v>147</v>
          </cell>
        </row>
        <row r="280">
          <cell r="K280">
            <v>937</v>
          </cell>
        </row>
        <row r="281">
          <cell r="K281">
            <v>30</v>
          </cell>
        </row>
        <row r="282">
          <cell r="K282">
            <v>53</v>
          </cell>
        </row>
        <row r="283">
          <cell r="K283">
            <v>57</v>
          </cell>
        </row>
        <row r="284">
          <cell r="K284">
            <v>162</v>
          </cell>
        </row>
        <row r="286">
          <cell r="K286">
            <v>222</v>
          </cell>
        </row>
        <row r="287">
          <cell r="K287">
            <v>90</v>
          </cell>
        </row>
        <row r="288">
          <cell r="K288">
            <v>118</v>
          </cell>
        </row>
        <row r="289">
          <cell r="K289">
            <v>74</v>
          </cell>
        </row>
        <row r="290">
          <cell r="K290">
            <v>189</v>
          </cell>
        </row>
        <row r="291">
          <cell r="K291">
            <v>92</v>
          </cell>
        </row>
        <row r="293">
          <cell r="K293">
            <v>52</v>
          </cell>
        </row>
        <row r="294">
          <cell r="K294">
            <v>184</v>
          </cell>
        </row>
        <row r="295">
          <cell r="K295">
            <v>136</v>
          </cell>
        </row>
        <row r="296">
          <cell r="K296">
            <v>150</v>
          </cell>
        </row>
        <row r="297">
          <cell r="K297">
            <v>894</v>
          </cell>
        </row>
        <row r="300">
          <cell r="K300">
            <v>562</v>
          </cell>
        </row>
        <row r="301">
          <cell r="K301">
            <v>432</v>
          </cell>
        </row>
        <row r="302">
          <cell r="K302">
            <v>245</v>
          </cell>
        </row>
        <row r="303">
          <cell r="K303">
            <v>29</v>
          </cell>
        </row>
        <row r="304">
          <cell r="K304">
            <v>556</v>
          </cell>
        </row>
        <row r="305">
          <cell r="K305">
            <v>298</v>
          </cell>
        </row>
        <row r="306">
          <cell r="K306">
            <v>386</v>
          </cell>
        </row>
        <row r="307">
          <cell r="K307">
            <v>19</v>
          </cell>
        </row>
        <row r="308">
          <cell r="K308">
            <v>237</v>
          </cell>
        </row>
        <row r="309">
          <cell r="K309">
            <v>37</v>
          </cell>
        </row>
        <row r="311">
          <cell r="K311">
            <v>2585</v>
          </cell>
        </row>
        <row r="312">
          <cell r="K312">
            <v>9</v>
          </cell>
        </row>
        <row r="313">
          <cell r="K313">
            <v>4</v>
          </cell>
        </row>
        <row r="314">
          <cell r="K314">
            <v>44</v>
          </cell>
        </row>
        <row r="315">
          <cell r="K315">
            <v>24</v>
          </cell>
        </row>
        <row r="316">
          <cell r="K316">
            <v>2</v>
          </cell>
        </row>
        <row r="317">
          <cell r="K317">
            <v>87</v>
          </cell>
        </row>
        <row r="318">
          <cell r="K318">
            <v>581</v>
          </cell>
        </row>
        <row r="320">
          <cell r="K320">
            <v>110209.25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statss_FY2009"/>
      <sheetName val="statss2_FY2009"/>
      <sheetName val="statss3_FY2009"/>
      <sheetName val="statss1 Lab-Rad-Ancill_FY2009"/>
      <sheetName val="budget_FY10"/>
      <sheetName val="budget_FY10_OR"/>
      <sheetName val="budget_FY10_ASAP"/>
      <sheetName val="budget_FY10_UPC"/>
      <sheetName val="budget_FY10_CPC"/>
      <sheetName val="budget_FY10_disch"/>
      <sheetName val="ISROLL_BudgetFY10UHJune2010"/>
      <sheetName val="BUDHRS_Roll UH_as of08132009"/>
      <sheetName val="bedcount"/>
      <sheetName val="stat_description"/>
    </sheetNames>
    <sheetDataSet>
      <sheetData sheetId="0">
        <row r="2">
          <cell r="B2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wRVU_Normalized"/>
      <sheetName val="SOMSupport"/>
      <sheetName val="IncomeStmt wout Clinics"/>
      <sheetName val="RevRecon"/>
      <sheetName val="MarjorieProjection"/>
      <sheetName val="Sabana"/>
      <sheetName val="ClinicData"/>
      <sheetName val="IncomeStmt with Clinics"/>
      <sheetName val="UNNMGTrend"/>
      <sheetName val="UNMMGRollFwd"/>
      <sheetName val="Management Co - Presentation"/>
      <sheetName val="Mgmt Co Classification"/>
      <sheetName val="Capital"/>
      <sheetName val="PurchSrvs"/>
      <sheetName val="VarByDept"/>
      <sheetName val="VarByDept2"/>
      <sheetName val="FTE Trend"/>
      <sheetName val="HSC Summary"/>
      <sheetName val="BudgetByDept"/>
      <sheetName val="SummaryByDept"/>
      <sheetName val="SummaryByAcct"/>
      <sheetName val="CostRevTrends"/>
      <sheetName val="Bill&amp;CollectChart"/>
      <sheetName val="Bill&amp;Collect"/>
      <sheetName val="PerWRVU"/>
      <sheetName val="ChartData"/>
      <sheetName val="PPA_Cost Trend Analysis"/>
      <sheetName val="1000-MgmtCo"/>
      <sheetName val="1020-Admin"/>
      <sheetName val="1040-HR"/>
      <sheetName val="1060-BusDev"/>
      <sheetName val="1080-Finance"/>
      <sheetName val="1085-CashReceipt"/>
      <sheetName val="1100-FinPlanning"/>
      <sheetName val="1120-BusOps"/>
      <sheetName val="1125-AcctOps"/>
      <sheetName val="1130-Coding"/>
      <sheetName val="1135-ChrgEntry"/>
      <sheetName val="1150-ClinicalOps"/>
      <sheetName val="1180-PractMgmt"/>
      <sheetName val="1200-IT"/>
      <sheetName val="1220-Compliance"/>
      <sheetName val="1300-CPE"/>
      <sheetName val="1320-OCCS"/>
      <sheetName val="1950-HealthSystem"/>
      <sheetName val="1400-SRMC"/>
      <sheetName val="2012 Annualized"/>
      <sheetName val="2012YTD-Dec12"/>
      <sheetName val="2011TBSummary"/>
      <sheetName val="Overhead Schedule"/>
      <sheetName val="UNNMGTrendAug2012"/>
      <sheetName val="New Presentation"/>
      <sheetName val="2012 Projection with Clinics"/>
      <sheetName val="Chart1"/>
      <sheetName val="Chart2"/>
      <sheetName val="Chart3"/>
      <sheetName val="Chart4"/>
    </sheetNames>
    <sheetDataSet>
      <sheetData sheetId="0"/>
      <sheetData sheetId="1"/>
      <sheetData sheetId="2"/>
      <sheetData sheetId="3">
        <row r="51">
          <cell r="F51">
            <v>127.55000000000001</v>
          </cell>
        </row>
      </sheetData>
      <sheetData sheetId="4"/>
      <sheetData sheetId="5"/>
      <sheetData sheetId="6"/>
      <sheetData sheetId="7">
        <row r="9">
          <cell r="G9">
            <v>5531000</v>
          </cell>
        </row>
      </sheetData>
      <sheetData sheetId="8">
        <row r="10">
          <cell r="E10">
            <v>0</v>
          </cell>
        </row>
      </sheetData>
      <sheetData sheetId="9"/>
      <sheetData sheetId="10"/>
      <sheetData sheetId="11"/>
      <sheetData sheetId="12"/>
      <sheetData sheetId="13">
        <row r="11">
          <cell r="E11">
            <v>138.32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6">
          <cell r="H26">
            <v>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26">
          <cell r="H26">
            <v>2.75</v>
          </cell>
        </row>
      </sheetData>
      <sheetData sheetId="42">
        <row r="26">
          <cell r="H26">
            <v>12</v>
          </cell>
        </row>
      </sheetData>
      <sheetData sheetId="43"/>
      <sheetData sheetId="44"/>
      <sheetData sheetId="45"/>
      <sheetData sheetId="46"/>
      <sheetData sheetId="47">
        <row r="10">
          <cell r="C10" t="str">
            <v>01-10-1000-000-100-60085</v>
          </cell>
          <cell r="D10" t="str">
            <v>Salaries-Faculty Providers-Mgmt Co</v>
          </cell>
          <cell r="E10">
            <v>48936.959999999999</v>
          </cell>
        </row>
        <row r="11">
          <cell r="C11" t="str">
            <v>01-10-1000-000-100-63300</v>
          </cell>
          <cell r="D11" t="str">
            <v>Bonus Expense - Mgmt Co</v>
          </cell>
          <cell r="E11">
            <v>64270.44</v>
          </cell>
        </row>
        <row r="12">
          <cell r="C12" t="str">
            <v>01-10-1000-000-100-64055</v>
          </cell>
          <cell r="D12" t="str">
            <v>Employee Benefits UNMMG - Mtg</v>
          </cell>
          <cell r="E12">
            <v>202.89</v>
          </cell>
        </row>
        <row r="13">
          <cell r="C13" t="str">
            <v>01-10-1000-000-100-65010</v>
          </cell>
          <cell r="D13" t="str">
            <v>Emp Benefits- Misc. EE Benefits - Mgmt Co</v>
          </cell>
          <cell r="E13">
            <v>117</v>
          </cell>
        </row>
        <row r="14">
          <cell r="C14" t="str">
            <v>01-10-1000-000-100-67025</v>
          </cell>
          <cell r="D14" t="str">
            <v>ER 403(b) - Mgmt Co</v>
          </cell>
          <cell r="E14">
            <v>-1936.33</v>
          </cell>
        </row>
        <row r="15">
          <cell r="C15" t="str">
            <v>01-10-1000-000-100-67120</v>
          </cell>
          <cell r="D15" t="str">
            <v>Worker's Comp Fee - Mgmt Co</v>
          </cell>
          <cell r="E15">
            <v>975.2</v>
          </cell>
        </row>
        <row r="16">
          <cell r="C16" t="str">
            <v>01-10-1000-000-100-70001</v>
          </cell>
          <cell r="D16" t="str">
            <v>Accounting &amp; Audit - Mgmt Co</v>
          </cell>
          <cell r="E16">
            <v>0</v>
          </cell>
        </row>
        <row r="17">
          <cell r="C17" t="str">
            <v>01-10-1000-000-100-70005</v>
          </cell>
          <cell r="D17" t="str">
            <v>Advertising - Mgmt Co</v>
          </cell>
          <cell r="E17">
            <v>8850.3253796095451</v>
          </cell>
        </row>
        <row r="18">
          <cell r="C18" t="str">
            <v>01-10-1000-000-100-70010</v>
          </cell>
          <cell r="D18" t="str">
            <v>Auto - Mgmt Co</v>
          </cell>
          <cell r="E18">
            <v>2100.7863436123348</v>
          </cell>
        </row>
        <row r="19">
          <cell r="C19" t="str">
            <v>01-10-1000-000-100-70015</v>
          </cell>
          <cell r="D19" t="str">
            <v>Bank Svcs Chgs - Mgmt Co</v>
          </cell>
          <cell r="E19">
            <v>0</v>
          </cell>
        </row>
        <row r="20">
          <cell r="C20" t="str">
            <v>01-10-1000-000-100-70026</v>
          </cell>
          <cell r="D20" t="str">
            <v>Contigency-Mgmt Co</v>
          </cell>
          <cell r="E20">
            <v>300000</v>
          </cell>
        </row>
        <row r="21">
          <cell r="C21" t="str">
            <v>01-10-1000-000-100-70028</v>
          </cell>
          <cell r="D21" t="str">
            <v>Copier - Mgmt Co</v>
          </cell>
          <cell r="E21">
            <v>0</v>
          </cell>
        </row>
        <row r="22">
          <cell r="C22" t="str">
            <v>01-10-1000-000-100-70030</v>
          </cell>
          <cell r="D22" t="str">
            <v>Dues &amp; Memberships - Mgmt Co</v>
          </cell>
          <cell r="E22">
            <v>214</v>
          </cell>
        </row>
        <row r="23">
          <cell r="C23" t="str">
            <v>01-10-1000-000-100-70035</v>
          </cell>
          <cell r="D23" t="str">
            <v>Insurance Commercial - Mgmt Co</v>
          </cell>
          <cell r="E23">
            <v>32079.051027000005</v>
          </cell>
        </row>
        <row r="24">
          <cell r="C24" t="str">
            <v>01-10-1000-000-100-70039</v>
          </cell>
          <cell r="D24" t="str">
            <v>Licenses &amp; Fees - Mgmt Co</v>
          </cell>
          <cell r="E24">
            <v>95</v>
          </cell>
        </row>
        <row r="25">
          <cell r="C25" t="str">
            <v>01-10-1000-000-100-70040</v>
          </cell>
          <cell r="D25" t="str">
            <v>Materials &amp; Services - Mgmt Co</v>
          </cell>
          <cell r="E25">
            <v>16757.460357142856</v>
          </cell>
        </row>
        <row r="26">
          <cell r="C26" t="str">
            <v>01-10-1000-000-100-70045</v>
          </cell>
          <cell r="D26" t="str">
            <v>Meetings &amp; Conferences-Mgmt Co</v>
          </cell>
          <cell r="E26">
            <v>3303.08</v>
          </cell>
        </row>
        <row r="27">
          <cell r="C27" t="str">
            <v>01-10-1000-000-100-70070</v>
          </cell>
          <cell r="D27" t="str">
            <v>Recruitment - Mgmt Co</v>
          </cell>
          <cell r="E27">
            <v>-6000</v>
          </cell>
        </row>
        <row r="28">
          <cell r="C28" t="str">
            <v>01-10-1000-000-100-70075</v>
          </cell>
          <cell r="D28" t="str">
            <v>Staff Dev - Mgmt Co</v>
          </cell>
          <cell r="E28">
            <v>1824.573965344408</v>
          </cell>
        </row>
        <row r="29">
          <cell r="C29" t="str">
            <v>01-10-1000-000-100-70090</v>
          </cell>
          <cell r="D29" t="str">
            <v>Travel - Mgmt Co</v>
          </cell>
          <cell r="E29">
            <v>147.84</v>
          </cell>
        </row>
        <row r="30">
          <cell r="C30" t="str">
            <v>01-10-1000-000-100-70095</v>
          </cell>
          <cell r="D30" t="str">
            <v>Mileage - Mgmt Co</v>
          </cell>
          <cell r="E30">
            <v>-7419.4378378378369</v>
          </cell>
        </row>
        <row r="31">
          <cell r="C31" t="str">
            <v>01-10-1000-000-100-70100</v>
          </cell>
          <cell r="D31" t="str">
            <v>Office Supplies - Mgmt Co</v>
          </cell>
          <cell r="E31">
            <v>0</v>
          </cell>
        </row>
        <row r="32">
          <cell r="C32" t="str">
            <v>01-10-1000-000-100-70510</v>
          </cell>
          <cell r="D32" t="str">
            <v>Other Contract Svcs - Mgmt Co</v>
          </cell>
          <cell r="E32">
            <v>15592</v>
          </cell>
        </row>
        <row r="33">
          <cell r="C33" t="str">
            <v>01-10-1000-000-100-70520</v>
          </cell>
          <cell r="D33" t="str">
            <v>Courier - Mgmt Co</v>
          </cell>
          <cell r="E33">
            <v>81838.2</v>
          </cell>
        </row>
        <row r="34">
          <cell r="C34" t="str">
            <v>01-10-1000-000-100-70550</v>
          </cell>
          <cell r="D34" t="str">
            <v>Furn Fix &amp; Remodel - Mgmt Co</v>
          </cell>
          <cell r="E34">
            <v>7641.66</v>
          </cell>
        </row>
        <row r="35">
          <cell r="C35" t="str">
            <v>01-10-1000-000-100-71005</v>
          </cell>
          <cell r="D35" t="str">
            <v>Space Rent - Mgmt Co</v>
          </cell>
          <cell r="E35">
            <v>459654.64</v>
          </cell>
        </row>
        <row r="36">
          <cell r="C36" t="str">
            <v>01-10-1000-000-100-71020</v>
          </cell>
          <cell r="D36" t="str">
            <v>Storage - Mgmt Co</v>
          </cell>
          <cell r="E36">
            <v>0</v>
          </cell>
        </row>
        <row r="37">
          <cell r="C37" t="str">
            <v>01-10-1000-000-100-72030</v>
          </cell>
          <cell r="D37" t="str">
            <v>Recycling - Mgmt Co</v>
          </cell>
          <cell r="E37">
            <v>0</v>
          </cell>
        </row>
        <row r="38">
          <cell r="C38" t="str">
            <v>01-10-1000-000-100-72035</v>
          </cell>
          <cell r="D38" t="str">
            <v>Phone - Mgmt Co</v>
          </cell>
          <cell r="E38">
            <v>3988.7482142857143</v>
          </cell>
        </row>
        <row r="39">
          <cell r="C39" t="str">
            <v>01-10-1000-000-100-72040</v>
          </cell>
          <cell r="D39" t="str">
            <v>Water - Mgmt Co</v>
          </cell>
          <cell r="E39">
            <v>0</v>
          </cell>
        </row>
        <row r="40">
          <cell r="C40" t="str">
            <v>01-10-1000-000-100-75010</v>
          </cell>
          <cell r="D40" t="str">
            <v>UH Reimb-Gap - Mgmt Co</v>
          </cell>
          <cell r="E40">
            <v>-952890.96</v>
          </cell>
        </row>
        <row r="41">
          <cell r="C41" t="str">
            <v>01-10-1000-000-100-75013</v>
          </cell>
          <cell r="D41" t="str">
            <v>Billed From UH-Svcs-Mgmt Co</v>
          </cell>
          <cell r="E41">
            <v>43517.34</v>
          </cell>
        </row>
        <row r="42">
          <cell r="C42" t="str">
            <v>01-10-1000-000-100-75500</v>
          </cell>
          <cell r="D42" t="str">
            <v>Malpractice UH Reim - Mgmt Co</v>
          </cell>
          <cell r="E42">
            <v>0</v>
          </cell>
        </row>
        <row r="43">
          <cell r="C43" t="str">
            <v>01-10-1000-000-100-80005</v>
          </cell>
          <cell r="D43" t="str">
            <v>Interest Income-Mgmt Co</v>
          </cell>
          <cell r="E43">
            <v>0.12</v>
          </cell>
        </row>
        <row r="44">
          <cell r="C44" t="str">
            <v>01-10-1000-000-100-80015</v>
          </cell>
          <cell r="D44" t="str">
            <v>Undistributed Investment Income-Mgmt Co</v>
          </cell>
          <cell r="E44">
            <v>6790.62</v>
          </cell>
        </row>
        <row r="45">
          <cell r="C45" t="str">
            <v>01-10-1000-000-100-80100</v>
          </cell>
          <cell r="D45" t="str">
            <v>Depreciation Exp - Mgmt Co</v>
          </cell>
          <cell r="E45">
            <v>494313.84</v>
          </cell>
        </row>
        <row r="46">
          <cell r="C46" t="str">
            <v>01-10-1020-000-100-60005</v>
          </cell>
          <cell r="D46" t="str">
            <v>Salaries-Dir Mgr - Admin</v>
          </cell>
          <cell r="E46">
            <v>296509.62</v>
          </cell>
        </row>
        <row r="47">
          <cell r="C47" t="str">
            <v>01-10-1020-000-100-60013</v>
          </cell>
          <cell r="D47" t="str">
            <v>Salaries-Prof - Admin</v>
          </cell>
          <cell r="E47">
            <v>91588.32</v>
          </cell>
        </row>
        <row r="48">
          <cell r="C48" t="str">
            <v>01-10-1020-000-100-60018</v>
          </cell>
          <cell r="D48" t="str">
            <v>Salaries-Clerical - Admin</v>
          </cell>
          <cell r="E48">
            <v>46599.96</v>
          </cell>
        </row>
        <row r="49">
          <cell r="C49" t="str">
            <v>01-10-1020-000-100-63300</v>
          </cell>
          <cell r="D49" t="str">
            <v>Bonus Expense - Admin</v>
          </cell>
          <cell r="E49">
            <v>20596</v>
          </cell>
        </row>
        <row r="50">
          <cell r="C50" t="str">
            <v>01-10-1020-000-100-64050</v>
          </cell>
          <cell r="D50" t="str">
            <v>Emp Benefits-UNM - Admin</v>
          </cell>
          <cell r="E50">
            <v>22891.38</v>
          </cell>
        </row>
        <row r="51">
          <cell r="C51" t="str">
            <v>01-10-1020-000-100-65005</v>
          </cell>
          <cell r="D51" t="str">
            <v>Emp Benefits-STD - Admin</v>
          </cell>
          <cell r="E51">
            <v>755.4</v>
          </cell>
        </row>
        <row r="52">
          <cell r="C52" t="str">
            <v>01-10-1020-000-100-67025</v>
          </cell>
          <cell r="D52" t="str">
            <v>ER 403(b) - Admin</v>
          </cell>
          <cell r="E52">
            <v>24946.62</v>
          </cell>
        </row>
        <row r="53">
          <cell r="C53" t="str">
            <v>01-10-1020-000-100-67030</v>
          </cell>
          <cell r="D53" t="str">
            <v>ER Hlth Dental &amp; Vision - Admin</v>
          </cell>
          <cell r="E53">
            <v>12551.16</v>
          </cell>
        </row>
        <row r="54">
          <cell r="C54" t="str">
            <v>01-10-1020-000-100-67050</v>
          </cell>
          <cell r="D54" t="str">
            <v>ER Life Ins - Admin</v>
          </cell>
          <cell r="E54">
            <v>67.56</v>
          </cell>
        </row>
        <row r="55">
          <cell r="C55" t="str">
            <v>01-10-1020-000-100-67100</v>
          </cell>
          <cell r="D55" t="str">
            <v>ER Fica_Mcare - Admin</v>
          </cell>
          <cell r="E55">
            <v>8229.52</v>
          </cell>
        </row>
        <row r="56">
          <cell r="C56" t="str">
            <v>01-10-1020-000-100-70025</v>
          </cell>
          <cell r="D56" t="str">
            <v>Books &amp; Publications - Admin</v>
          </cell>
          <cell r="E56">
            <v>58.432043511804913</v>
          </cell>
        </row>
        <row r="57">
          <cell r="C57" t="str">
            <v>01-10-1020-000-100-70028</v>
          </cell>
          <cell r="D57" t="str">
            <v>Copier - Admin</v>
          </cell>
          <cell r="E57">
            <v>2833.62</v>
          </cell>
        </row>
        <row r="58">
          <cell r="C58" t="str">
            <v>01-10-1020-000-100-70030</v>
          </cell>
          <cell r="D58" t="str">
            <v>Dues &amp; Memberships - Admin</v>
          </cell>
          <cell r="E58">
            <v>54603.519999999997</v>
          </cell>
        </row>
        <row r="59">
          <cell r="C59" t="str">
            <v>01-10-1020-000-100-70038</v>
          </cell>
          <cell r="D59" t="str">
            <v>Legal - Admin</v>
          </cell>
          <cell r="E59">
            <v>31870.36</v>
          </cell>
        </row>
        <row r="60">
          <cell r="C60" t="str">
            <v>01-10-1020-000-100-70039</v>
          </cell>
          <cell r="D60" t="str">
            <v>Licenses &amp; Fees - Admin</v>
          </cell>
          <cell r="E60">
            <v>20</v>
          </cell>
        </row>
        <row r="61">
          <cell r="C61" t="str">
            <v>01-10-1020-000-100-70045</v>
          </cell>
          <cell r="D61" t="str">
            <v>Meetings &amp; Conferences - Admin</v>
          </cell>
          <cell r="E61">
            <v>6243.26</v>
          </cell>
        </row>
        <row r="62">
          <cell r="C62" t="str">
            <v>01-10-1020-000-100-70055</v>
          </cell>
          <cell r="D62" t="str">
            <v>Postage &amp; Shipping - Admin</v>
          </cell>
          <cell r="E62">
            <v>1545.98</v>
          </cell>
        </row>
        <row r="63">
          <cell r="C63" t="str">
            <v>01-10-1020-000-100-70090</v>
          </cell>
          <cell r="D63" t="str">
            <v>Travel - Admin</v>
          </cell>
          <cell r="E63">
            <v>4122.7</v>
          </cell>
        </row>
        <row r="64">
          <cell r="C64" t="str">
            <v>01-10-1020-000-100-70095</v>
          </cell>
          <cell r="D64" t="str">
            <v>Mileage - Admin</v>
          </cell>
          <cell r="E64">
            <v>1300.4756756756758</v>
          </cell>
        </row>
        <row r="65">
          <cell r="C65" t="str">
            <v>01-10-1020-000-100-70100</v>
          </cell>
          <cell r="D65" t="str">
            <v>Office Supplies - Admin</v>
          </cell>
          <cell r="E65">
            <v>8765.6516129032261</v>
          </cell>
        </row>
        <row r="66">
          <cell r="C66" t="str">
            <v>01-10-1020-000-100-70410</v>
          </cell>
          <cell r="D66" t="str">
            <v>Computer  Costs - Admin</v>
          </cell>
          <cell r="E66">
            <v>127.98</v>
          </cell>
        </row>
        <row r="67">
          <cell r="C67" t="str">
            <v>01-10-1020-000-100-71020</v>
          </cell>
          <cell r="D67" t="str">
            <v>Storage - Admin</v>
          </cell>
          <cell r="E67">
            <v>2539.9710024855012</v>
          </cell>
        </row>
        <row r="68">
          <cell r="C68" t="str">
            <v>01-10-1020-000-100-72030</v>
          </cell>
          <cell r="D68" t="str">
            <v>Recycling - Admin</v>
          </cell>
          <cell r="E68">
            <v>219.64</v>
          </cell>
        </row>
        <row r="69">
          <cell r="C69" t="str">
            <v>01-10-1020-000-100-72035</v>
          </cell>
          <cell r="D69" t="str">
            <v>Phone - Admin</v>
          </cell>
          <cell r="E69">
            <v>53184.95</v>
          </cell>
        </row>
        <row r="70">
          <cell r="C70" t="str">
            <v>01-10-1020-000-100-72040</v>
          </cell>
          <cell r="D70" t="str">
            <v>Water - Admin</v>
          </cell>
          <cell r="E70">
            <v>82.92</v>
          </cell>
        </row>
        <row r="71">
          <cell r="C71" t="str">
            <v>01-10-1020-000-100-98005</v>
          </cell>
          <cell r="D71" t="str">
            <v>FTEs-Dir Mgr-UNMMG-Admin</v>
          </cell>
          <cell r="E71">
            <v>6</v>
          </cell>
        </row>
        <row r="72">
          <cell r="C72" t="str">
            <v>01-10-1020-000-100-98013</v>
          </cell>
          <cell r="D72" t="str">
            <v>FTEs-Prof-UNMMG-Admin</v>
          </cell>
          <cell r="E72">
            <v>6</v>
          </cell>
        </row>
        <row r="73">
          <cell r="C73" t="str">
            <v>01-10-1020-000-100-98014</v>
          </cell>
          <cell r="D73" t="str">
            <v>FTEs-Prof-UNM-Admin</v>
          </cell>
          <cell r="E73">
            <v>6</v>
          </cell>
        </row>
        <row r="74">
          <cell r="C74" t="str">
            <v>01-10-1040-000-100-60013</v>
          </cell>
          <cell r="D74" t="str">
            <v>Salaries-Prof - HR</v>
          </cell>
          <cell r="E74">
            <v>204127.2</v>
          </cell>
        </row>
        <row r="75">
          <cell r="C75" t="str">
            <v>01-10-1040-000-100-60015</v>
          </cell>
          <cell r="D75" t="str">
            <v>Salaries-Technical - HR</v>
          </cell>
          <cell r="E75">
            <v>30765.08</v>
          </cell>
        </row>
        <row r="76">
          <cell r="C76" t="str">
            <v>01-10-1040-000-100-60018</v>
          </cell>
          <cell r="D76" t="str">
            <v>Salaries-Clerical - HR</v>
          </cell>
          <cell r="E76">
            <v>30482.080000000002</v>
          </cell>
        </row>
        <row r="77">
          <cell r="C77" t="str">
            <v>01-10-1040-000-100-60060</v>
          </cell>
          <cell r="D77" t="str">
            <v>Salaries-Temp - HR</v>
          </cell>
          <cell r="E77">
            <v>8578.08</v>
          </cell>
        </row>
        <row r="78">
          <cell r="C78" t="str">
            <v>01-10-1040-000-100-60070</v>
          </cell>
          <cell r="D78" t="str">
            <v>Contract Labor - HR</v>
          </cell>
          <cell r="E78">
            <v>1053.92</v>
          </cell>
        </row>
        <row r="79">
          <cell r="C79" t="str">
            <v>01-10-1040-000-100-63500</v>
          </cell>
          <cell r="D79" t="str">
            <v>Overtime-UNMMG-Human Resources</v>
          </cell>
          <cell r="E79">
            <v>6.04</v>
          </cell>
        </row>
        <row r="80">
          <cell r="C80" t="str">
            <v>01-10-1040-000-100-63505</v>
          </cell>
          <cell r="D80" t="str">
            <v>Overtime-UNM-HR</v>
          </cell>
          <cell r="E80">
            <v>1320.48</v>
          </cell>
        </row>
        <row r="81">
          <cell r="C81" t="str">
            <v>01-10-1040-000-100-64015</v>
          </cell>
          <cell r="D81" t="str">
            <v>Billed to SC Salaries-HR</v>
          </cell>
          <cell r="E81">
            <v>-53088</v>
          </cell>
        </row>
        <row r="82">
          <cell r="C82" t="str">
            <v>01-10-1040-000-100-64050</v>
          </cell>
          <cell r="D82" t="str">
            <v>Emp Benefits-UNM - HR</v>
          </cell>
          <cell r="E82">
            <v>55742.06</v>
          </cell>
        </row>
        <row r="83">
          <cell r="C83" t="str">
            <v>01-10-1040-000-100-64055</v>
          </cell>
          <cell r="D83" t="str">
            <v>Employee Benefits UNMMG - HR</v>
          </cell>
          <cell r="E83">
            <v>1435.5</v>
          </cell>
        </row>
        <row r="84">
          <cell r="C84" t="str">
            <v>01-10-1040-000-100-65005</v>
          </cell>
          <cell r="D84" t="str">
            <v>Emp Benefits-STD - HR</v>
          </cell>
          <cell r="E84">
            <v>97.72</v>
          </cell>
        </row>
        <row r="85">
          <cell r="C85" t="str">
            <v>01-10-1040-000-100-67025</v>
          </cell>
          <cell r="D85" t="str">
            <v>ER 403(b) - HR</v>
          </cell>
          <cell r="E85">
            <v>1490.18</v>
          </cell>
        </row>
        <row r="86">
          <cell r="C86" t="str">
            <v>01-10-1040-000-100-67030</v>
          </cell>
          <cell r="D86" t="str">
            <v>ER Hlth Dental &amp; Vision - HR</v>
          </cell>
          <cell r="E86">
            <v>4235.92</v>
          </cell>
        </row>
        <row r="87">
          <cell r="C87" t="str">
            <v>01-10-1040-000-100-67050</v>
          </cell>
          <cell r="D87" t="str">
            <v>ER Life Ins - HR</v>
          </cell>
          <cell r="E87">
            <v>115.3</v>
          </cell>
        </row>
        <row r="88">
          <cell r="C88" t="str">
            <v>01-10-1040-000-100-67100</v>
          </cell>
          <cell r="D88" t="str">
            <v>ER Fica_Mcare - HR</v>
          </cell>
          <cell r="E88">
            <v>3674.54</v>
          </cell>
        </row>
        <row r="89">
          <cell r="C89" t="str">
            <v>01-10-1040-000-100-67110</v>
          </cell>
          <cell r="D89" t="str">
            <v>ER SUI - HR</v>
          </cell>
          <cell r="E89">
            <v>516.28</v>
          </cell>
        </row>
        <row r="90">
          <cell r="C90" t="str">
            <v>01-10-1040-000-100-70025</v>
          </cell>
          <cell r="D90" t="str">
            <v>Books &amp; Publications - HR</v>
          </cell>
          <cell r="E90">
            <v>460.17303388900189</v>
          </cell>
        </row>
        <row r="91">
          <cell r="C91" t="str">
            <v>01-10-1040-000-100-70028</v>
          </cell>
          <cell r="D91" t="str">
            <v>Copier - HR</v>
          </cell>
          <cell r="E91">
            <v>2833.62</v>
          </cell>
        </row>
        <row r="92">
          <cell r="C92" t="str">
            <v>01-10-1040-000-100-70030</v>
          </cell>
          <cell r="D92" t="str">
            <v>Dues &amp; Memberships - HR</v>
          </cell>
          <cell r="E92">
            <v>360</v>
          </cell>
        </row>
        <row r="93">
          <cell r="C93" t="str">
            <v>01-10-1040-000-100-70050</v>
          </cell>
          <cell r="D93" t="str">
            <v>Payroll &amp; HR Fees  - HR</v>
          </cell>
          <cell r="E93">
            <v>10890.66</v>
          </cell>
        </row>
        <row r="94">
          <cell r="C94" t="str">
            <v>01-10-1040-000-100-70055</v>
          </cell>
          <cell r="D94" t="str">
            <v>Postage &amp; Shipping - HR</v>
          </cell>
          <cell r="E94">
            <v>440.18</v>
          </cell>
        </row>
        <row r="95">
          <cell r="C95" t="str">
            <v>01-10-1040-000-100-70060</v>
          </cell>
          <cell r="D95" t="str">
            <v>Printing - HR</v>
          </cell>
          <cell r="E95">
            <v>300.61076472833696</v>
          </cell>
        </row>
        <row r="96">
          <cell r="C96" t="str">
            <v>01-10-1040-000-100-70070</v>
          </cell>
          <cell r="D96" t="str">
            <v>Recruitment - HR</v>
          </cell>
          <cell r="E96">
            <v>41025.279999999999</v>
          </cell>
        </row>
        <row r="97">
          <cell r="C97" t="str">
            <v>01-10-1040-000-100-70075</v>
          </cell>
          <cell r="D97" t="str">
            <v>Staff Dev - HR</v>
          </cell>
          <cell r="E97">
            <v>1499.3469855363026</v>
          </cell>
        </row>
        <row r="98">
          <cell r="C98" t="str">
            <v>01-10-1040-000-100-70100</v>
          </cell>
          <cell r="D98" t="str">
            <v>Office Supplies - HR</v>
          </cell>
          <cell r="E98">
            <v>1801.625806451613</v>
          </cell>
        </row>
        <row r="99">
          <cell r="C99" t="str">
            <v>01-10-1040-000-100-70420</v>
          </cell>
          <cell r="D99" t="str">
            <v>Software Subscript &amp; Mntnce - HR</v>
          </cell>
          <cell r="E99">
            <v>8642.5701366581179</v>
          </cell>
        </row>
        <row r="100">
          <cell r="C100" t="str">
            <v>01-10-1040-000-100-71020</v>
          </cell>
          <cell r="D100" t="str">
            <v>Storage - HR</v>
          </cell>
          <cell r="E100">
            <v>476.25932062966035</v>
          </cell>
        </row>
        <row r="101">
          <cell r="C101" t="str">
            <v>01-10-1040-000-100-72030</v>
          </cell>
          <cell r="D101" t="str">
            <v>Recycling - HR</v>
          </cell>
          <cell r="E101">
            <v>219.62</v>
          </cell>
        </row>
        <row r="102">
          <cell r="C102" t="str">
            <v>01-10-1040-000-100-72035</v>
          </cell>
          <cell r="D102" t="str">
            <v>Phone - HR</v>
          </cell>
          <cell r="E102">
            <v>1751.8892857142855</v>
          </cell>
        </row>
        <row r="103">
          <cell r="C103" t="str">
            <v>01-10-1040-000-100-72040</v>
          </cell>
          <cell r="D103" t="str">
            <v>Water - HR</v>
          </cell>
          <cell r="E103">
            <v>82.9</v>
          </cell>
        </row>
        <row r="104">
          <cell r="C104" t="str">
            <v>01-10-1040-000-100-75002</v>
          </cell>
          <cell r="D104" t="str">
            <v>Billed from UNM Services - HR</v>
          </cell>
          <cell r="E104">
            <v>162892.98000000001</v>
          </cell>
        </row>
        <row r="105">
          <cell r="C105" t="str">
            <v>01-10-1040-000-100-98006</v>
          </cell>
          <cell r="D105" t="str">
            <v>FTEs-Dir/Mgr-UNM-HR</v>
          </cell>
          <cell r="E105">
            <v>6</v>
          </cell>
        </row>
        <row r="106">
          <cell r="C106" t="str">
            <v>01-10-1040-000-100-98014</v>
          </cell>
          <cell r="D106" t="str">
            <v>FTEs-Prof-UNM-HR</v>
          </cell>
          <cell r="E106">
            <v>6</v>
          </cell>
        </row>
        <row r="107">
          <cell r="C107" t="str">
            <v>01-10-1040-000-100-98015</v>
          </cell>
          <cell r="D107" t="str">
            <v>FTEs-Technical-UNMMG-HR</v>
          </cell>
          <cell r="E107">
            <v>3</v>
          </cell>
        </row>
        <row r="108">
          <cell r="C108" t="str">
            <v>01-10-1040-000-100-98018</v>
          </cell>
          <cell r="D108" t="str">
            <v>FTEs-Clerical-UNMMG-HR</v>
          </cell>
          <cell r="E108">
            <v>4</v>
          </cell>
        </row>
        <row r="109">
          <cell r="C109" t="str">
            <v>01-10-1040-000-100-98019</v>
          </cell>
          <cell r="D109" t="str">
            <v>FTEs-Clerical-UNM-HR</v>
          </cell>
          <cell r="E109">
            <v>1</v>
          </cell>
        </row>
        <row r="110">
          <cell r="C110" t="str">
            <v>01-10-1040-000-100-98060</v>
          </cell>
          <cell r="D110" t="str">
            <v>FTEs-UNMMG-Temp-HR</v>
          </cell>
          <cell r="E110">
            <v>1.5</v>
          </cell>
        </row>
        <row r="111">
          <cell r="C111" t="str">
            <v>01-10-1060-000-100-60005</v>
          </cell>
          <cell r="D111" t="str">
            <v>Salaries-Dir Mgr - Bus Dev</v>
          </cell>
          <cell r="E111">
            <v>174404.04</v>
          </cell>
        </row>
        <row r="112">
          <cell r="C112" t="str">
            <v>01-10-1060-000-100-60018</v>
          </cell>
          <cell r="D112" t="str">
            <v>Salaries-Clerical - Bus Dev</v>
          </cell>
          <cell r="E112">
            <v>40079.980000000003</v>
          </cell>
        </row>
        <row r="113">
          <cell r="C113" t="str">
            <v>01-10-1060-000-100-63300</v>
          </cell>
          <cell r="D113" t="str">
            <v>Bonus Expense - Bus Dev</v>
          </cell>
          <cell r="E113">
            <v>6158</v>
          </cell>
        </row>
        <row r="114">
          <cell r="C114" t="str">
            <v>01-10-1060-000-100-63500</v>
          </cell>
          <cell r="D114" t="str">
            <v>Overtime-UNMMG-Bus Dev</v>
          </cell>
          <cell r="E114">
            <v>220.16</v>
          </cell>
        </row>
        <row r="115">
          <cell r="C115" t="str">
            <v>01-10-1060-000-100-64055</v>
          </cell>
          <cell r="D115" t="str">
            <v>Employee Benefits UNMMG - Bus Dev</v>
          </cell>
          <cell r="E115">
            <v>227.52</v>
          </cell>
        </row>
        <row r="116">
          <cell r="C116" t="str">
            <v>01-10-1060-000-100-65005</v>
          </cell>
          <cell r="D116" t="str">
            <v>Emp Benefits-STD - Bus Dev</v>
          </cell>
          <cell r="E116">
            <v>716.56</v>
          </cell>
        </row>
        <row r="117">
          <cell r="C117" t="str">
            <v>01-10-1060-000-100-67025</v>
          </cell>
          <cell r="D117" t="str">
            <v>ER 403(b) - Bus Dev</v>
          </cell>
          <cell r="E117">
            <v>19026.2</v>
          </cell>
        </row>
        <row r="118">
          <cell r="C118" t="str">
            <v>01-10-1060-000-100-67030</v>
          </cell>
          <cell r="D118" t="str">
            <v>ER Hlth Dental &amp; Vision - Bus Dev</v>
          </cell>
          <cell r="E118">
            <v>7214.4</v>
          </cell>
        </row>
        <row r="119">
          <cell r="C119" t="str">
            <v>01-10-1060-000-100-67100</v>
          </cell>
          <cell r="D119" t="str">
            <v>ER Fica_Mcare - Bus Dev</v>
          </cell>
          <cell r="E119">
            <v>8278.6</v>
          </cell>
        </row>
        <row r="120">
          <cell r="C120" t="str">
            <v>01-10-1060-000-100-67110</v>
          </cell>
          <cell r="D120" t="str">
            <v>ER SUI - Bus Dev</v>
          </cell>
          <cell r="E120">
            <v>23.92</v>
          </cell>
        </row>
        <row r="121">
          <cell r="C121" t="str">
            <v>01-10-1060-000-100-70005</v>
          </cell>
          <cell r="D121" t="str">
            <v>Advertising - Bus Dev</v>
          </cell>
          <cell r="E121">
            <v>23138.568329718</v>
          </cell>
        </row>
        <row r="122">
          <cell r="C122" t="str">
            <v>01-10-1060-000-100-70025</v>
          </cell>
          <cell r="D122" t="str">
            <v>Books &amp; Publications - Bus Dev</v>
          </cell>
          <cell r="E122">
            <v>413.82467076349093</v>
          </cell>
        </row>
        <row r="123">
          <cell r="C123" t="str">
            <v>01-10-1060-000-100-70028</v>
          </cell>
          <cell r="D123" t="str">
            <v>Copier - Bus Dev</v>
          </cell>
          <cell r="E123">
            <v>1889.08</v>
          </cell>
        </row>
        <row r="124">
          <cell r="C124" t="str">
            <v>01-10-1060-000-100-70030</v>
          </cell>
          <cell r="D124" t="str">
            <v>Dues &amp; Memberships - Bus Dev</v>
          </cell>
          <cell r="E124">
            <v>2400</v>
          </cell>
        </row>
        <row r="125">
          <cell r="C125" t="str">
            <v>01-10-1060-000-100-70040</v>
          </cell>
          <cell r="D125" t="str">
            <v>Materials &amp; Services - Bus Dev</v>
          </cell>
          <cell r="E125">
            <v>159.33471428571428</v>
          </cell>
        </row>
        <row r="126">
          <cell r="C126" t="str">
            <v>01-10-1060-000-100-70045</v>
          </cell>
          <cell r="D126" t="str">
            <v>Meetings &amp; Conferences - Bus Dev</v>
          </cell>
          <cell r="E126">
            <v>5410.52</v>
          </cell>
        </row>
        <row r="127">
          <cell r="C127" t="str">
            <v>01-10-1060-000-100-70055</v>
          </cell>
          <cell r="D127" t="str">
            <v>Postage &amp; Shipping - Bus Dev</v>
          </cell>
          <cell r="E127">
            <v>263.54000000000002</v>
          </cell>
        </row>
        <row r="128">
          <cell r="C128" t="str">
            <v>01-10-1060-000-100-70075</v>
          </cell>
          <cell r="D128" t="str">
            <v>Staff Dev - Bus Dev</v>
          </cell>
          <cell r="E128">
            <v>332.9514535300014</v>
          </cell>
        </row>
        <row r="129">
          <cell r="C129" t="str">
            <v>01-10-1060-000-100-70090</v>
          </cell>
          <cell r="D129" t="str">
            <v>Travel - Bus Dev</v>
          </cell>
          <cell r="E129">
            <v>3209.84</v>
          </cell>
        </row>
        <row r="130">
          <cell r="C130" t="str">
            <v>01-10-1060-000-100-70095</v>
          </cell>
          <cell r="D130" t="str">
            <v>Mileage - Bus Dev</v>
          </cell>
          <cell r="E130">
            <v>308.46486486486486</v>
          </cell>
        </row>
        <row r="131">
          <cell r="C131" t="str">
            <v>01-10-1060-000-100-70100</v>
          </cell>
          <cell r="D131" t="str">
            <v>Office Supplies - Bus Dev</v>
          </cell>
          <cell r="E131">
            <v>1537.0838709677419</v>
          </cell>
        </row>
        <row r="132">
          <cell r="C132" t="str">
            <v>01-10-1060-000-100-70420</v>
          </cell>
          <cell r="D132" t="str">
            <v>Software Subscript &amp; Mntnce - Bus Dev</v>
          </cell>
          <cell r="E132">
            <v>751.09804923145555</v>
          </cell>
        </row>
        <row r="133">
          <cell r="C133" t="str">
            <v>01-10-1060-000-100-70500</v>
          </cell>
          <cell r="D133" t="str">
            <v>Consultants - Bus Dev</v>
          </cell>
          <cell r="E133">
            <v>21380.12</v>
          </cell>
        </row>
        <row r="134">
          <cell r="C134" t="str">
            <v>01-10-1060-000-100-70550</v>
          </cell>
          <cell r="D134" t="str">
            <v>Furn Fix &amp; Remodel - Bus Dev</v>
          </cell>
          <cell r="E134">
            <v>796</v>
          </cell>
        </row>
        <row r="135">
          <cell r="C135" t="str">
            <v>01-10-1060-000-100-71020</v>
          </cell>
          <cell r="D135" t="str">
            <v>Storage - Bus Dev</v>
          </cell>
          <cell r="E135">
            <v>317.48372588472012</v>
          </cell>
        </row>
        <row r="136">
          <cell r="C136" t="str">
            <v>01-10-1060-000-100-72030</v>
          </cell>
          <cell r="D136" t="str">
            <v>Recycling - Bus Dev</v>
          </cell>
          <cell r="E136">
            <v>146.41999999999999</v>
          </cell>
        </row>
        <row r="137">
          <cell r="C137" t="str">
            <v>01-10-1060-000-100-72035</v>
          </cell>
          <cell r="D137" t="str">
            <v>Phone - Bus Dev</v>
          </cell>
          <cell r="E137">
            <v>2331.1553571428572</v>
          </cell>
        </row>
        <row r="138">
          <cell r="C138" t="str">
            <v>01-10-1060-000-100-72040</v>
          </cell>
          <cell r="D138" t="str">
            <v>Water - Bus Dev</v>
          </cell>
          <cell r="E138">
            <v>55.26</v>
          </cell>
        </row>
        <row r="139">
          <cell r="C139" t="str">
            <v>01-10-1060-000-100-98005</v>
          </cell>
          <cell r="D139" t="str">
            <v>FTEs-Dir Mgr-UNMMG-Bus Dev</v>
          </cell>
          <cell r="E139">
            <v>6</v>
          </cell>
        </row>
        <row r="140">
          <cell r="C140" t="str">
            <v>01-10-1060-000-100-98018</v>
          </cell>
          <cell r="D140" t="str">
            <v>FTEs-Clerical-UNMMG-Bus Dev</v>
          </cell>
          <cell r="E140">
            <v>6</v>
          </cell>
        </row>
        <row r="141">
          <cell r="C141" t="str">
            <v>01-10-1080-000-100-60005</v>
          </cell>
          <cell r="D141" t="str">
            <v>Salaries-Dir Mgr - Finance</v>
          </cell>
          <cell r="E141">
            <v>257633.16</v>
          </cell>
        </row>
        <row r="142">
          <cell r="C142" t="str">
            <v>01-10-1080-000-100-60010</v>
          </cell>
          <cell r="D142" t="str">
            <v>Salaries-Supervisor - Finance</v>
          </cell>
          <cell r="E142">
            <v>109317.32</v>
          </cell>
        </row>
        <row r="143">
          <cell r="C143" t="str">
            <v>01-10-1080-000-100-60013</v>
          </cell>
          <cell r="D143" t="str">
            <v>Salaries-Prof - Finance</v>
          </cell>
          <cell r="E143">
            <v>375709.18</v>
          </cell>
        </row>
        <row r="144">
          <cell r="C144" t="str">
            <v>01-10-1080-000-100-60015</v>
          </cell>
          <cell r="D144" t="str">
            <v>Salaries-Technical - Finance</v>
          </cell>
          <cell r="E144">
            <v>41591.660000000003</v>
          </cell>
        </row>
        <row r="145">
          <cell r="C145" t="str">
            <v>01-10-1080-000-100-60018</v>
          </cell>
          <cell r="D145" t="str">
            <v>Salaries-Clerical - Finance</v>
          </cell>
          <cell r="E145">
            <v>103014.28</v>
          </cell>
        </row>
        <row r="146">
          <cell r="C146" t="str">
            <v>01-10-1080-000-100-63300</v>
          </cell>
          <cell r="D146" t="str">
            <v>Bonus Expense - Finance</v>
          </cell>
          <cell r="E146">
            <v>5813.5</v>
          </cell>
        </row>
        <row r="147">
          <cell r="C147" t="str">
            <v>01-10-1080-000-100-63500</v>
          </cell>
          <cell r="D147" t="str">
            <v>Overtime-UNMMG-Finance</v>
          </cell>
          <cell r="E147">
            <v>17076.3</v>
          </cell>
        </row>
        <row r="148">
          <cell r="C148" t="str">
            <v>01-10-1080-000-100-64015</v>
          </cell>
          <cell r="D148" t="str">
            <v>Billed to SC Salaries-Finance</v>
          </cell>
          <cell r="E148">
            <v>-59275.14</v>
          </cell>
        </row>
        <row r="149">
          <cell r="C149" t="str">
            <v>01-10-1080-000-100-64055</v>
          </cell>
          <cell r="D149" t="str">
            <v>Employee Benefits UNMMG - Finance</v>
          </cell>
          <cell r="E149">
            <v>-1317.92</v>
          </cell>
        </row>
        <row r="150">
          <cell r="C150" t="str">
            <v>01-10-1080-000-100-65005</v>
          </cell>
          <cell r="D150" t="str">
            <v>Emp Benefits-STD - Finance</v>
          </cell>
          <cell r="E150">
            <v>3720.32</v>
          </cell>
        </row>
        <row r="151">
          <cell r="C151" t="str">
            <v>01-10-1080-000-100-65008</v>
          </cell>
          <cell r="D151" t="str">
            <v>Emp Benefits-Tuition - Finance</v>
          </cell>
          <cell r="E151">
            <v>3477.1</v>
          </cell>
        </row>
        <row r="152">
          <cell r="C152" t="str">
            <v>01-10-1080-000-100-65010</v>
          </cell>
          <cell r="D152" t="str">
            <v>Emp Benefits- Misc. EE Benefits - Finance</v>
          </cell>
          <cell r="E152">
            <v>684</v>
          </cell>
        </row>
        <row r="153">
          <cell r="C153" t="str">
            <v>01-10-1080-000-100-67025</v>
          </cell>
          <cell r="D153" t="str">
            <v>ER 403(b) - Finance</v>
          </cell>
          <cell r="E153">
            <v>73251.98</v>
          </cell>
        </row>
        <row r="154">
          <cell r="C154" t="str">
            <v>01-10-1080-000-100-67030</v>
          </cell>
          <cell r="D154" t="str">
            <v>ER Hlth Dental &amp; Vision - Finance</v>
          </cell>
          <cell r="E154">
            <v>56643.06</v>
          </cell>
        </row>
        <row r="155">
          <cell r="C155" t="str">
            <v>01-10-1080-000-100-67050</v>
          </cell>
          <cell r="D155" t="str">
            <v>ER Life Ins - Finance</v>
          </cell>
          <cell r="E155">
            <v>1903.08</v>
          </cell>
        </row>
        <row r="156">
          <cell r="C156" t="str">
            <v>01-10-1080-000-100-67100</v>
          </cell>
          <cell r="D156" t="str">
            <v>ER Fica_Mcare - Finance</v>
          </cell>
          <cell r="E156">
            <v>66601.84</v>
          </cell>
        </row>
        <row r="157">
          <cell r="C157" t="str">
            <v>01-10-1080-000-100-67110</v>
          </cell>
          <cell r="D157" t="str">
            <v>ER SUI - Finance</v>
          </cell>
          <cell r="E157">
            <v>1128.72</v>
          </cell>
        </row>
        <row r="158">
          <cell r="C158" t="str">
            <v>01-10-1080-000-100-70001</v>
          </cell>
          <cell r="D158" t="str">
            <v>Accounting &amp; Audit - Finance</v>
          </cell>
          <cell r="E158">
            <v>81320.02</v>
          </cell>
        </row>
        <row r="159">
          <cell r="C159" t="str">
            <v>01-10-1080-000-100-70015</v>
          </cell>
          <cell r="D159" t="str">
            <v>Bank Service Charges - Finance</v>
          </cell>
          <cell r="E159">
            <v>124719.34</v>
          </cell>
        </row>
        <row r="160">
          <cell r="C160" t="str">
            <v>01-10-1080-000-100-70028</v>
          </cell>
          <cell r="D160" t="str">
            <v>Copier - Finance</v>
          </cell>
          <cell r="E160">
            <v>14168.18</v>
          </cell>
        </row>
        <row r="161">
          <cell r="C161" t="str">
            <v>01-10-1080-000-100-70030</v>
          </cell>
          <cell r="D161" t="str">
            <v>Dues &amp; Memberships - Finance</v>
          </cell>
          <cell r="E161">
            <v>320</v>
          </cell>
        </row>
        <row r="162">
          <cell r="C162" t="str">
            <v>01-10-1080-000-100-70040</v>
          </cell>
          <cell r="D162" t="str">
            <v>Materials &amp; Services - Finance</v>
          </cell>
          <cell r="E162">
            <v>2.9214285714285717E-2</v>
          </cell>
        </row>
        <row r="163">
          <cell r="C163" t="str">
            <v>01-10-1080-000-100-70045</v>
          </cell>
          <cell r="D163" t="str">
            <v>Meetings &amp; Conferences-Finance</v>
          </cell>
          <cell r="E163">
            <v>314.68</v>
          </cell>
        </row>
        <row r="164">
          <cell r="C164" t="str">
            <v>01-10-1080-000-100-70050</v>
          </cell>
          <cell r="D164" t="str">
            <v>Payroll &amp; HR Fees  - Finance</v>
          </cell>
          <cell r="E164">
            <v>27155.72</v>
          </cell>
        </row>
        <row r="165">
          <cell r="C165" t="str">
            <v>01-10-1080-000-100-70055</v>
          </cell>
          <cell r="D165" t="str">
            <v>Postage &amp; Shipping - Finance</v>
          </cell>
          <cell r="E165">
            <v>2319.58</v>
          </cell>
        </row>
        <row r="166">
          <cell r="C166" t="str">
            <v>01-10-1080-000-100-70090</v>
          </cell>
          <cell r="D166" t="str">
            <v>Travel - Finance</v>
          </cell>
          <cell r="E166">
            <v>0.82</v>
          </cell>
        </row>
        <row r="167">
          <cell r="C167" t="str">
            <v>01-10-1080-000-100-70095</v>
          </cell>
          <cell r="D167" t="str">
            <v>Mileage - Finance</v>
          </cell>
          <cell r="E167">
            <v>4376.5297297297293</v>
          </cell>
        </row>
        <row r="168">
          <cell r="C168" t="str">
            <v>01-10-1080-000-100-70100</v>
          </cell>
          <cell r="D168" t="str">
            <v>Office Supplies - Finance</v>
          </cell>
          <cell r="E168">
            <v>6697.9045161290323</v>
          </cell>
        </row>
        <row r="169">
          <cell r="C169" t="str">
            <v>01-10-1080-000-100-70410</v>
          </cell>
          <cell r="D169" t="str">
            <v>Computer  Costs - Finance</v>
          </cell>
          <cell r="E169">
            <v>39000</v>
          </cell>
        </row>
        <row r="170">
          <cell r="C170" t="str">
            <v>01-10-1080-000-100-70420</v>
          </cell>
          <cell r="D170" t="str">
            <v>Software Subscript &amp; Mntnce - Finance</v>
          </cell>
          <cell r="E170">
            <v>347764.67752785143</v>
          </cell>
        </row>
        <row r="171">
          <cell r="C171" t="str">
            <v>01-10-1080-000-100-70520</v>
          </cell>
          <cell r="D171" t="str">
            <v>Courier - Finance</v>
          </cell>
          <cell r="E171">
            <v>10093.06</v>
          </cell>
        </row>
        <row r="172">
          <cell r="C172" t="str">
            <v>01-10-1080-000-100-70550</v>
          </cell>
          <cell r="D172" t="str">
            <v>Furn Fix &amp; Remodel - Finance</v>
          </cell>
          <cell r="E172">
            <v>496.64</v>
          </cell>
        </row>
        <row r="173">
          <cell r="C173" t="str">
            <v>01-10-1080-000-100-71020</v>
          </cell>
          <cell r="D173" t="str">
            <v>Storage - Finance</v>
          </cell>
          <cell r="E173">
            <v>2381.2628713457216</v>
          </cell>
        </row>
        <row r="174">
          <cell r="C174" t="str">
            <v>01-10-1080-000-100-72030</v>
          </cell>
          <cell r="D174" t="str">
            <v>Recycling - Finance</v>
          </cell>
          <cell r="E174">
            <v>1098.1400000000001</v>
          </cell>
        </row>
        <row r="175">
          <cell r="C175" t="str">
            <v>01-10-1080-000-100-72035</v>
          </cell>
          <cell r="D175" t="str">
            <v>Phone - Finance</v>
          </cell>
          <cell r="E175">
            <v>7805.8035714285716</v>
          </cell>
        </row>
        <row r="176">
          <cell r="C176" t="str">
            <v>01-10-1080-000-100-72040</v>
          </cell>
          <cell r="D176" t="str">
            <v>Water - Finance</v>
          </cell>
          <cell r="E176">
            <v>414.44</v>
          </cell>
        </row>
        <row r="177">
          <cell r="C177" t="str">
            <v>01-10-1080-000-100-98005</v>
          </cell>
          <cell r="D177" t="str">
            <v>FTEs-Dir Mgr-UNMMG-Finance</v>
          </cell>
          <cell r="E177">
            <v>13</v>
          </cell>
        </row>
        <row r="178">
          <cell r="C178" t="str">
            <v>01-10-1080-000-100-98010</v>
          </cell>
          <cell r="D178" t="str">
            <v>FTEs-Supervisor-UNMMG-Finance</v>
          </cell>
          <cell r="E178">
            <v>10</v>
          </cell>
        </row>
        <row r="179">
          <cell r="C179" t="str">
            <v>01-10-1080-000-100-98013</v>
          </cell>
          <cell r="D179" t="str">
            <v>FTEs-Prof-UNMMG-Finance</v>
          </cell>
          <cell r="E179">
            <v>38</v>
          </cell>
        </row>
        <row r="180">
          <cell r="C180" t="str">
            <v>01-10-1080-000-100-98015</v>
          </cell>
          <cell r="D180" t="str">
            <v>FTEs-Technical-UNMMG-Finance</v>
          </cell>
          <cell r="E180">
            <v>12</v>
          </cell>
        </row>
        <row r="181">
          <cell r="C181" t="str">
            <v>01-10-1080-000-100-98018</v>
          </cell>
          <cell r="D181" t="str">
            <v>FTEs-Clerical-UNMMG-Finance</v>
          </cell>
          <cell r="E181">
            <v>12</v>
          </cell>
        </row>
        <row r="182">
          <cell r="C182" t="str">
            <v>01-10-1085-000-100-60005</v>
          </cell>
          <cell r="D182" t="str">
            <v>Salaries-Dir Mgr - Receipting</v>
          </cell>
          <cell r="E182">
            <v>57470</v>
          </cell>
        </row>
        <row r="183">
          <cell r="C183" t="str">
            <v>01-10-1085-000-100-60010</v>
          </cell>
          <cell r="D183" t="str">
            <v>Salaries-Supervisor - Receipting</v>
          </cell>
          <cell r="E183">
            <v>3892.46</v>
          </cell>
        </row>
        <row r="184">
          <cell r="C184" t="str">
            <v>01-10-1085-000-100-60013</v>
          </cell>
          <cell r="D184" t="str">
            <v>Salaries-Prof - Receipting</v>
          </cell>
          <cell r="E184">
            <v>24058.44</v>
          </cell>
        </row>
        <row r="185">
          <cell r="C185" t="str">
            <v>01-10-1085-000-100-60018</v>
          </cell>
          <cell r="D185" t="str">
            <v>Salaries-Clerical - Receipting</v>
          </cell>
          <cell r="E185">
            <v>361590.22</v>
          </cell>
        </row>
        <row r="186">
          <cell r="C186" t="str">
            <v>01-10-1085-000-100-63310</v>
          </cell>
          <cell r="D186" t="str">
            <v>Severence Expense - Receipting</v>
          </cell>
          <cell r="E186">
            <v>6450.34</v>
          </cell>
        </row>
        <row r="187">
          <cell r="C187" t="str">
            <v>01-10-1085-000-100-63500</v>
          </cell>
          <cell r="D187" t="str">
            <v>Overtime-UNMMG-Receipting</v>
          </cell>
          <cell r="E187">
            <v>1561.84</v>
          </cell>
        </row>
        <row r="188">
          <cell r="C188" t="str">
            <v>01-10-1085-000-100-64050</v>
          </cell>
          <cell r="D188" t="str">
            <v>Emp Benefits-UNM - Receipting</v>
          </cell>
          <cell r="E188">
            <v>35550.14</v>
          </cell>
        </row>
        <row r="189">
          <cell r="C189" t="str">
            <v>01-10-1085-000-100-64055</v>
          </cell>
          <cell r="D189" t="str">
            <v>Employee Benefits UNMMG - Receipting</v>
          </cell>
          <cell r="E189">
            <v>7321.78</v>
          </cell>
        </row>
        <row r="190">
          <cell r="C190" t="str">
            <v>01-10-1085-000-100-65005</v>
          </cell>
          <cell r="D190" t="str">
            <v>Emp Benefits-STD - Receipting</v>
          </cell>
          <cell r="E190">
            <v>1195.46</v>
          </cell>
        </row>
        <row r="191">
          <cell r="C191" t="str">
            <v>01-10-1085-000-100-65008</v>
          </cell>
          <cell r="D191" t="str">
            <v>Emp Benefits-Tuition - Receipting</v>
          </cell>
          <cell r="E191">
            <v>538</v>
          </cell>
        </row>
        <row r="192">
          <cell r="C192" t="str">
            <v>01-10-1085-000-100-67025</v>
          </cell>
          <cell r="D192" t="str">
            <v>ER 403(b) - Receipting</v>
          </cell>
          <cell r="E192">
            <v>21759.439999999999</v>
          </cell>
        </row>
        <row r="193">
          <cell r="C193" t="str">
            <v>01-10-1085-000-100-67030</v>
          </cell>
          <cell r="D193" t="str">
            <v>ER Hlth Dental &amp; Vision - Receipting</v>
          </cell>
          <cell r="E193">
            <v>27976.94</v>
          </cell>
        </row>
        <row r="194">
          <cell r="C194" t="str">
            <v>01-10-1085-000-100-67050</v>
          </cell>
          <cell r="D194" t="str">
            <v>ER Life Ins - Receipting</v>
          </cell>
          <cell r="E194">
            <v>383.74</v>
          </cell>
        </row>
        <row r="195">
          <cell r="C195" t="str">
            <v>01-10-1085-000-100-67100</v>
          </cell>
          <cell r="D195" t="str">
            <v>ER Fica_Mcare - Receipting</v>
          </cell>
          <cell r="E195">
            <v>21768.720000000001</v>
          </cell>
        </row>
        <row r="196">
          <cell r="C196" t="str">
            <v>01-10-1085-000-100-67110</v>
          </cell>
          <cell r="D196" t="str">
            <v>ER SUI - Receipting</v>
          </cell>
          <cell r="E196">
            <v>2567.6999999999998</v>
          </cell>
        </row>
        <row r="197">
          <cell r="C197" t="str">
            <v>01-10-1085-000-100-70012</v>
          </cell>
          <cell r="D197" t="str">
            <v>Backgrd Checks - Receipting</v>
          </cell>
          <cell r="E197">
            <v>295.76</v>
          </cell>
        </row>
        <row r="198">
          <cell r="C198" t="str">
            <v>01-10-1085-000-100-70028</v>
          </cell>
          <cell r="D198" t="str">
            <v>Copier - Receipting</v>
          </cell>
          <cell r="E198">
            <v>12279.1</v>
          </cell>
        </row>
        <row r="199">
          <cell r="C199" t="str">
            <v>01-10-1085-000-100-70055</v>
          </cell>
          <cell r="D199" t="str">
            <v>Postage &amp; Shipping - Receipting</v>
          </cell>
          <cell r="E199">
            <v>8254</v>
          </cell>
        </row>
        <row r="200">
          <cell r="C200" t="str">
            <v>01-10-1085-000-100-70100</v>
          </cell>
          <cell r="D200" t="str">
            <v>Office Supplies - Receipting</v>
          </cell>
          <cell r="E200">
            <v>5238.2322580645159</v>
          </cell>
        </row>
        <row r="201">
          <cell r="C201" t="str">
            <v>01-10-1085-000-100-70300</v>
          </cell>
          <cell r="D201" t="str">
            <v>Claims Support - Receipting</v>
          </cell>
          <cell r="E201">
            <v>148156.94</v>
          </cell>
        </row>
        <row r="202">
          <cell r="C202" t="str">
            <v>01-10-1085-000-100-70550</v>
          </cell>
          <cell r="D202" t="str">
            <v>Furn Fix &amp; Remodel - Receipting</v>
          </cell>
          <cell r="E202">
            <v>1216</v>
          </cell>
        </row>
        <row r="203">
          <cell r="C203" t="str">
            <v>01-10-1085-000-100-71020</v>
          </cell>
          <cell r="D203" t="str">
            <v>Storage - Receipting</v>
          </cell>
          <cell r="E203">
            <v>2063.6779500532607</v>
          </cell>
        </row>
        <row r="204">
          <cell r="C204" t="str">
            <v>01-10-1085-000-100-72030</v>
          </cell>
          <cell r="D204" t="str">
            <v>Recycling - Receipting</v>
          </cell>
          <cell r="E204">
            <v>951.66</v>
          </cell>
        </row>
        <row r="205">
          <cell r="C205" t="str">
            <v>01-10-1085-000-100-72035</v>
          </cell>
          <cell r="D205" t="str">
            <v>Phone - Receipting</v>
          </cell>
          <cell r="E205">
            <v>313.39285714285711</v>
          </cell>
        </row>
        <row r="206">
          <cell r="C206" t="str">
            <v>01-10-1085-000-100-72040</v>
          </cell>
          <cell r="D206" t="str">
            <v>Water - Receipting</v>
          </cell>
          <cell r="E206">
            <v>359.16</v>
          </cell>
        </row>
        <row r="207">
          <cell r="C207" t="str">
            <v>01-10-1085-000-100-98005</v>
          </cell>
          <cell r="D207" t="str">
            <v>FTEs-Dir Mgr-UNMMG-Receipting</v>
          </cell>
          <cell r="E207">
            <v>5</v>
          </cell>
        </row>
        <row r="208">
          <cell r="C208" t="str">
            <v>01-10-1085-000-100-98006</v>
          </cell>
          <cell r="D208" t="str">
            <v>FTEs-Dir/Mgr-UNM-Receipting</v>
          </cell>
          <cell r="E208">
            <v>3</v>
          </cell>
        </row>
        <row r="209">
          <cell r="C209" t="str">
            <v>01-10-1085-000-100-98010</v>
          </cell>
          <cell r="D209" t="str">
            <v>FTEs-Supervisor-UNMMG-Receipting</v>
          </cell>
          <cell r="E209">
            <v>1</v>
          </cell>
        </row>
        <row r="210">
          <cell r="C210" t="str">
            <v>01-10-1085-000-100-98018</v>
          </cell>
          <cell r="D210" t="str">
            <v>FTEs-Clerical-UNMMG-Receipting</v>
          </cell>
          <cell r="E210">
            <v>47.5</v>
          </cell>
        </row>
        <row r="211">
          <cell r="C211" t="str">
            <v>01-10-1085-000-100-98019</v>
          </cell>
          <cell r="D211" t="str">
            <v>FTEs-Clerical-UNM-Receipting</v>
          </cell>
          <cell r="E211">
            <v>15</v>
          </cell>
        </row>
        <row r="212">
          <cell r="C212" t="str">
            <v>01-10-1100-000-100-60005</v>
          </cell>
          <cell r="D212" t="str">
            <v>Salaries-Dir Mgr - Strategic Plan</v>
          </cell>
          <cell r="E212">
            <v>189448.88</v>
          </cell>
        </row>
        <row r="213">
          <cell r="C213" t="str">
            <v>01-10-1100-000-100-60013</v>
          </cell>
          <cell r="D213" t="str">
            <v>Salaries-Prof - Strategic Plan</v>
          </cell>
          <cell r="E213">
            <v>73540.820000000007</v>
          </cell>
        </row>
        <row r="214">
          <cell r="C214" t="str">
            <v>01-10-1100-000-100-63300</v>
          </cell>
          <cell r="D214" t="str">
            <v>Bonus Expense - Strategic Plan</v>
          </cell>
          <cell r="E214">
            <v>5912</v>
          </cell>
        </row>
        <row r="215">
          <cell r="C215" t="str">
            <v>01-10-1100-000-100-65005</v>
          </cell>
          <cell r="D215" t="str">
            <v>Emp Benefits-STD - Strategic Plan</v>
          </cell>
          <cell r="E215">
            <v>886.56</v>
          </cell>
        </row>
        <row r="216">
          <cell r="C216" t="str">
            <v>01-10-1100-000-100-65010</v>
          </cell>
          <cell r="D216" t="str">
            <v>Emp Benefits- Misc EE Benefits - Strategic Plan</v>
          </cell>
          <cell r="E216">
            <v>360</v>
          </cell>
        </row>
        <row r="217">
          <cell r="C217" t="str">
            <v>01-10-1100-000-100-67025</v>
          </cell>
          <cell r="D217" t="str">
            <v>ER 403(b) - Strategic Plan</v>
          </cell>
          <cell r="E217">
            <v>25068.62</v>
          </cell>
        </row>
        <row r="218">
          <cell r="C218" t="str">
            <v>01-10-1100-000-100-67030</v>
          </cell>
          <cell r="D218" t="str">
            <v>ER Hlth Dental &amp; Vision - Strategic Plan</v>
          </cell>
          <cell r="E218">
            <v>14480.76</v>
          </cell>
        </row>
        <row r="219">
          <cell r="C219" t="str">
            <v>01-10-1100-000-100-67050</v>
          </cell>
          <cell r="D219" t="str">
            <v>ER Life Ins - Strategic Plan</v>
          </cell>
          <cell r="E219">
            <v>466.98</v>
          </cell>
        </row>
        <row r="220">
          <cell r="C220" t="str">
            <v>01-10-1100-000-100-67100</v>
          </cell>
          <cell r="D220" t="str">
            <v>ER Fica_Mcare - Strategic Plan</v>
          </cell>
          <cell r="E220">
            <v>10497.26</v>
          </cell>
        </row>
        <row r="221">
          <cell r="C221" t="str">
            <v>01-10-1100-000-100-67110</v>
          </cell>
          <cell r="D221" t="str">
            <v>ER SUI - Strategic Plan</v>
          </cell>
          <cell r="E221">
            <v>876</v>
          </cell>
        </row>
        <row r="222">
          <cell r="C222" t="str">
            <v>01-10-1100-000-100-70012</v>
          </cell>
          <cell r="D222" t="str">
            <v>Backgrd Checks- Strategic Plan</v>
          </cell>
          <cell r="E222">
            <v>147.88</v>
          </cell>
        </row>
        <row r="223">
          <cell r="C223" t="str">
            <v>01-10-1100-000-100-70028</v>
          </cell>
          <cell r="D223" t="str">
            <v>Copier - Strategic Plan</v>
          </cell>
          <cell r="E223">
            <v>1180.68</v>
          </cell>
        </row>
        <row r="224">
          <cell r="C224" t="str">
            <v>01-10-1100-000-100-70045</v>
          </cell>
          <cell r="D224" t="str">
            <v>Meetings &amp; Conferences - Strategic Plan</v>
          </cell>
          <cell r="E224">
            <v>1200</v>
          </cell>
        </row>
        <row r="225">
          <cell r="C225" t="str">
            <v>01-10-1100-000-100-70055</v>
          </cell>
          <cell r="D225" t="str">
            <v>Postage &amp; Shipping - Strategic Plan</v>
          </cell>
          <cell r="E225">
            <v>164.72</v>
          </cell>
        </row>
        <row r="226">
          <cell r="C226" t="str">
            <v>01-10-1100-000-100-70070</v>
          </cell>
          <cell r="D226" t="str">
            <v>Recruitment - Strategic Plan</v>
          </cell>
          <cell r="E226">
            <v>75.86</v>
          </cell>
        </row>
        <row r="227">
          <cell r="C227" t="str">
            <v>01-10-1100-000-100-70090</v>
          </cell>
          <cell r="D227" t="str">
            <v>Travel - Strategic Plan</v>
          </cell>
          <cell r="E227">
            <v>1077.02</v>
          </cell>
        </row>
        <row r="228">
          <cell r="C228" t="str">
            <v>01-10-1100-000-100-70095</v>
          </cell>
          <cell r="D228" t="str">
            <v>Mileage - Strategic Plan</v>
          </cell>
          <cell r="E228">
            <v>167.15675675675675</v>
          </cell>
        </row>
        <row r="229">
          <cell r="C229" t="str">
            <v>01-10-1100-000-100-70100</v>
          </cell>
          <cell r="D229" t="str">
            <v>Office Supplies - Strategic Plan</v>
          </cell>
          <cell r="E229">
            <v>284.40000000000003</v>
          </cell>
        </row>
        <row r="230">
          <cell r="C230" t="str">
            <v>01-10-1100-000-100-70410</v>
          </cell>
          <cell r="D230" t="str">
            <v>Computer  Costs - Strategic Plan</v>
          </cell>
          <cell r="E230">
            <v>-1659.96</v>
          </cell>
        </row>
        <row r="231">
          <cell r="C231" t="str">
            <v>01-10-1100-000-100-71020</v>
          </cell>
          <cell r="D231" t="str">
            <v>Storage - Strategic Plan</v>
          </cell>
          <cell r="E231">
            <v>198.44419457924013</v>
          </cell>
        </row>
        <row r="232">
          <cell r="C232" t="str">
            <v>01-10-1100-000-100-72030</v>
          </cell>
          <cell r="D232" t="str">
            <v>Recycling - Strategic Plan</v>
          </cell>
          <cell r="E232">
            <v>91.52</v>
          </cell>
        </row>
        <row r="233">
          <cell r="C233" t="str">
            <v>01-10-1100-000-100-72035</v>
          </cell>
          <cell r="D233" t="str">
            <v>Phone - Strategic Plan</v>
          </cell>
          <cell r="E233">
            <v>3064.6339285714284</v>
          </cell>
        </row>
        <row r="234">
          <cell r="C234" t="str">
            <v>01-10-1100-000-100-72040</v>
          </cell>
          <cell r="D234" t="str">
            <v>Water - Strategic Plan</v>
          </cell>
          <cell r="E234">
            <v>34.58</v>
          </cell>
        </row>
        <row r="235">
          <cell r="C235" t="str">
            <v>01-10-1100-000-100-98005</v>
          </cell>
          <cell r="D235" t="str">
            <v>FTEs-Dir Mgr-UNMMG-Strat Plan</v>
          </cell>
          <cell r="E235">
            <v>6</v>
          </cell>
        </row>
        <row r="236">
          <cell r="C236" t="str">
            <v>01-10-1100-000-100-98013</v>
          </cell>
          <cell r="D236" t="str">
            <v>FTEs-Prof-UNMMG-Strategic Plan</v>
          </cell>
          <cell r="E236">
            <v>6</v>
          </cell>
        </row>
        <row r="237">
          <cell r="C237" t="str">
            <v>01-10-1120-000-100-60005</v>
          </cell>
          <cell r="D237" t="str">
            <v>Salaries-Dir Mgr - Bus Ops</v>
          </cell>
          <cell r="E237">
            <v>6861.12</v>
          </cell>
        </row>
        <row r="238">
          <cell r="C238" t="str">
            <v>01-10-1120-000-100-60013</v>
          </cell>
          <cell r="D238" t="str">
            <v>Salaries-Prof - Bus Ops</v>
          </cell>
          <cell r="E238">
            <v>174160.92</v>
          </cell>
        </row>
        <row r="239">
          <cell r="C239" t="str">
            <v>01-10-1120-000-100-60015</v>
          </cell>
          <cell r="D239" t="str">
            <v>Salaries-Technical - Bus Ops</v>
          </cell>
          <cell r="E239">
            <v>76349.259999999995</v>
          </cell>
        </row>
        <row r="240">
          <cell r="C240" t="str">
            <v>01-10-1120-000-100-64050</v>
          </cell>
          <cell r="D240" t="str">
            <v>Emp Benefits-UNM - Bus Ops</v>
          </cell>
          <cell r="E240">
            <v>50844.56</v>
          </cell>
        </row>
        <row r="241">
          <cell r="C241" t="str">
            <v>01-10-1120-000-100-65005</v>
          </cell>
          <cell r="D241" t="str">
            <v>Emp Benefits-STD - Bus Ops</v>
          </cell>
          <cell r="E241">
            <v>231.6</v>
          </cell>
        </row>
        <row r="242">
          <cell r="C242" t="str">
            <v>01-10-1120-000-100-67025</v>
          </cell>
          <cell r="D242" t="str">
            <v>ER 403(b) - Bus Ops</v>
          </cell>
          <cell r="E242">
            <v>2697.5</v>
          </cell>
        </row>
        <row r="243">
          <cell r="C243" t="str">
            <v>01-10-1120-000-100-67030</v>
          </cell>
          <cell r="D243" t="str">
            <v>ER Hlth Dental &amp; Vision - Bus Ops</v>
          </cell>
          <cell r="E243">
            <v>6137.28</v>
          </cell>
        </row>
        <row r="244">
          <cell r="C244" t="str">
            <v>01-10-1120-000-100-67050</v>
          </cell>
          <cell r="D244" t="str">
            <v>ER Life Ins - Bus Ops</v>
          </cell>
          <cell r="E244">
            <v>186.12</v>
          </cell>
        </row>
        <row r="245">
          <cell r="C245" t="str">
            <v>01-10-1120-000-100-67100</v>
          </cell>
          <cell r="D245" t="str">
            <v>ER Fica_Mcare - Bus Ops</v>
          </cell>
          <cell r="E245">
            <v>4382.76</v>
          </cell>
        </row>
        <row r="246">
          <cell r="C246" t="str">
            <v>01-10-1120-000-100-67110</v>
          </cell>
          <cell r="D246" t="str">
            <v>ER SUI - Bus Ops</v>
          </cell>
          <cell r="E246">
            <v>1013.2</v>
          </cell>
        </row>
        <row r="247">
          <cell r="C247" t="str">
            <v>01-10-1120-000-100-70025</v>
          </cell>
          <cell r="D247" t="str">
            <v>Books &amp; Publications - Bus Ops</v>
          </cell>
          <cell r="E247">
            <v>4866.5781281786531</v>
          </cell>
        </row>
        <row r="248">
          <cell r="C248" t="str">
            <v>01-10-1120-000-100-70028</v>
          </cell>
          <cell r="D248" t="str">
            <v>Copier - Bus Ops</v>
          </cell>
          <cell r="E248">
            <v>3778.2</v>
          </cell>
        </row>
        <row r="249">
          <cell r="C249" t="str">
            <v>01-10-1120-000-100-70030</v>
          </cell>
          <cell r="D249" t="str">
            <v>Dues &amp; Memberships - Bus Ops</v>
          </cell>
          <cell r="E249">
            <v>4774</v>
          </cell>
        </row>
        <row r="250">
          <cell r="C250" t="str">
            <v>01-10-1120-000-100-70055</v>
          </cell>
          <cell r="D250" t="str">
            <v>Postage &amp; Shipping - Bus Ops</v>
          </cell>
          <cell r="E250">
            <v>527.1</v>
          </cell>
        </row>
        <row r="251">
          <cell r="C251" t="str">
            <v>01-10-1120-000-100-70075</v>
          </cell>
          <cell r="D251" t="str">
            <v>Staff Dev - Bus Ops</v>
          </cell>
          <cell r="E251">
            <v>808.45052269798089</v>
          </cell>
        </row>
        <row r="252">
          <cell r="C252" t="str">
            <v>01-10-1120-000-100-70090</v>
          </cell>
          <cell r="D252" t="str">
            <v>Travel - Bus Ops</v>
          </cell>
          <cell r="E252">
            <v>2306.98</v>
          </cell>
        </row>
        <row r="253">
          <cell r="C253" t="str">
            <v>01-10-1120-000-100-70095</v>
          </cell>
          <cell r="D253" t="str">
            <v>Mileage - Bus Ops</v>
          </cell>
          <cell r="E253">
            <v>193.81621621621622</v>
          </cell>
        </row>
        <row r="254">
          <cell r="C254" t="str">
            <v>01-10-1120-000-100-70100</v>
          </cell>
          <cell r="D254" t="str">
            <v>Office Supplies - Bus Ops</v>
          </cell>
          <cell r="E254">
            <v>1480.5522580645163</v>
          </cell>
        </row>
        <row r="255">
          <cell r="C255" t="str">
            <v>01-10-1120-000-100-70410</v>
          </cell>
          <cell r="D255" t="str">
            <v>Computer  Costs - Bus Ops</v>
          </cell>
          <cell r="E255">
            <v>140.88</v>
          </cell>
        </row>
        <row r="256">
          <cell r="C256" t="str">
            <v>01-10-1120-000-100-71020</v>
          </cell>
          <cell r="D256" t="str">
            <v>Storage - Bus Ops</v>
          </cell>
          <cell r="E256">
            <v>635.0011835720203</v>
          </cell>
        </row>
        <row r="257">
          <cell r="C257" t="str">
            <v>01-10-1120-000-100-72030</v>
          </cell>
          <cell r="D257" t="str">
            <v>Recycling - Bus Ops</v>
          </cell>
          <cell r="E257">
            <v>292.82</v>
          </cell>
        </row>
        <row r="258">
          <cell r="C258" t="str">
            <v>01-10-1120-000-100-72035</v>
          </cell>
          <cell r="D258" t="str">
            <v>Phone - Bus Ops</v>
          </cell>
          <cell r="E258">
            <v>1800.3142857142857</v>
          </cell>
        </row>
        <row r="259">
          <cell r="C259" t="str">
            <v>01-10-1120-000-100-72040</v>
          </cell>
          <cell r="D259" t="str">
            <v>Water - Business Ops</v>
          </cell>
          <cell r="E259">
            <v>110.5</v>
          </cell>
        </row>
        <row r="260">
          <cell r="C260" t="str">
            <v>01-10-1120-000-100-98005</v>
          </cell>
          <cell r="D260" t="str">
            <v>FTEs-Dir Mgr-UNMMG-Bus Ops</v>
          </cell>
          <cell r="E260">
            <v>4</v>
          </cell>
        </row>
        <row r="261">
          <cell r="C261" t="str">
            <v>01-10-1120-000-100-98006</v>
          </cell>
          <cell r="D261" t="str">
            <v>FTEs-Dir/Mgr-UNM-Bus Ops</v>
          </cell>
          <cell r="E261">
            <v>6</v>
          </cell>
        </row>
        <row r="262">
          <cell r="C262" t="str">
            <v>01-10-1120-000-100-98014</v>
          </cell>
          <cell r="D262" t="str">
            <v>FTEs-Prof-UNM-Bus Ops</v>
          </cell>
          <cell r="E262">
            <v>6</v>
          </cell>
        </row>
        <row r="263">
          <cell r="C263" t="str">
            <v>01-10-1120-000-100-98015</v>
          </cell>
          <cell r="D263" t="str">
            <v>FTEs-Technical-UNMMG-Bus Ops</v>
          </cell>
          <cell r="E263">
            <v>2</v>
          </cell>
        </row>
        <row r="264">
          <cell r="C264" t="str">
            <v>01-10-1120-000-100-98016</v>
          </cell>
          <cell r="D264" t="str">
            <v>FTEs-Technical-UNM-BusOps</v>
          </cell>
          <cell r="E264">
            <v>2</v>
          </cell>
        </row>
        <row r="265">
          <cell r="C265" t="str">
            <v>01-10-1125-000-100-60005</v>
          </cell>
          <cell r="D265" t="str">
            <v>Salaries-Dir Mgr - Acct Ops</v>
          </cell>
          <cell r="E265">
            <v>32499.96</v>
          </cell>
        </row>
        <row r="266">
          <cell r="C266" t="str">
            <v>01-10-1125-000-100-60010</v>
          </cell>
          <cell r="D266" t="str">
            <v>Salaries-Supervisor - Acct Ops</v>
          </cell>
          <cell r="E266">
            <v>51619.8</v>
          </cell>
        </row>
        <row r="267">
          <cell r="C267" t="str">
            <v>01-10-1125-000-100-60013</v>
          </cell>
          <cell r="D267" t="str">
            <v>Salaries-Prof - Acct Ops</v>
          </cell>
          <cell r="E267">
            <v>98914.92</v>
          </cell>
        </row>
        <row r="268">
          <cell r="C268" t="str">
            <v>01-10-1125-000-100-60015</v>
          </cell>
          <cell r="D268" t="str">
            <v>Salaries-Technical - Acct Ops</v>
          </cell>
          <cell r="E268">
            <v>77061.759999999995</v>
          </cell>
        </row>
        <row r="269">
          <cell r="C269" t="str">
            <v>01-10-1125-000-100-60018</v>
          </cell>
          <cell r="D269" t="str">
            <v>Salaries-Clerical - Acct Ops</v>
          </cell>
          <cell r="E269">
            <v>1073936.3</v>
          </cell>
        </row>
        <row r="270">
          <cell r="C270" t="str">
            <v>01-10-1125-000-100-63300</v>
          </cell>
          <cell r="D270" t="str">
            <v>Bonus Expense - Acct Ops</v>
          </cell>
          <cell r="E270">
            <v>437.03</v>
          </cell>
        </row>
        <row r="271">
          <cell r="C271" t="str">
            <v>01-10-1125-000-100-63500</v>
          </cell>
          <cell r="D271" t="str">
            <v>Overtime-UNMMG-Acct Ops</v>
          </cell>
          <cell r="E271">
            <v>308.68</v>
          </cell>
        </row>
        <row r="272">
          <cell r="C272" t="str">
            <v>01-10-1125-000-100-63505</v>
          </cell>
          <cell r="D272" t="str">
            <v>Overtime-UNM-Acct Ops</v>
          </cell>
          <cell r="E272">
            <v>1049.42</v>
          </cell>
        </row>
        <row r="273">
          <cell r="C273" t="str">
            <v>01-10-1125-000-100-64002</v>
          </cell>
          <cell r="D273" t="str">
            <v>Billed from UH - Salaries - Acct Ops</v>
          </cell>
          <cell r="E273">
            <v>249526.44</v>
          </cell>
        </row>
        <row r="274">
          <cell r="C274" t="str">
            <v>01-10-1125-000-100-64050</v>
          </cell>
          <cell r="D274" t="str">
            <v>Emp Benefits-UNM - Acct Ops</v>
          </cell>
          <cell r="E274">
            <v>311010.36</v>
          </cell>
        </row>
        <row r="275">
          <cell r="C275" t="str">
            <v>01-10-1125-000-100-64055</v>
          </cell>
          <cell r="D275" t="str">
            <v>Employee Benefits UNMMG - Acct Ops</v>
          </cell>
          <cell r="E275">
            <v>6248.28</v>
          </cell>
        </row>
        <row r="276">
          <cell r="C276" t="str">
            <v>01-10-1125-000-100-65005</v>
          </cell>
          <cell r="D276" t="str">
            <v>Emp Benefits-STD - Acct Ops</v>
          </cell>
          <cell r="E276">
            <v>1559.98</v>
          </cell>
        </row>
        <row r="277">
          <cell r="C277" t="str">
            <v>01-10-1125-000-100-65008</v>
          </cell>
          <cell r="D277" t="str">
            <v>Emp Benefits-Tuition - Acct Ops</v>
          </cell>
          <cell r="E277">
            <v>2448</v>
          </cell>
        </row>
        <row r="278">
          <cell r="C278" t="str">
            <v>01-10-1125-000-100-67025</v>
          </cell>
          <cell r="D278" t="str">
            <v>ER 403(b) - Acct Ops</v>
          </cell>
          <cell r="E278">
            <v>21707.34</v>
          </cell>
        </row>
        <row r="279">
          <cell r="C279" t="str">
            <v>01-10-1125-000-100-67030</v>
          </cell>
          <cell r="D279" t="str">
            <v>ER Hlth Dental &amp; Vision - Acct Ops</v>
          </cell>
          <cell r="E279">
            <v>49078.080000000002</v>
          </cell>
        </row>
        <row r="280">
          <cell r="C280" t="str">
            <v>01-10-1125-000-100-67050</v>
          </cell>
          <cell r="D280" t="str">
            <v>ER Life Ins - Acct Ops</v>
          </cell>
          <cell r="E280">
            <v>744.2</v>
          </cell>
        </row>
        <row r="281">
          <cell r="C281" t="str">
            <v>01-10-1125-000-100-67100</v>
          </cell>
          <cell r="D281" t="str">
            <v>ER Fica_Mcare - Acct Ops</v>
          </cell>
          <cell r="E281">
            <v>30151.66</v>
          </cell>
        </row>
        <row r="282">
          <cell r="C282" t="str">
            <v>01-10-1125-000-100-67110</v>
          </cell>
          <cell r="D282" t="str">
            <v>ER SUI - Acct Ops</v>
          </cell>
          <cell r="E282">
            <v>4406.0200000000004</v>
          </cell>
        </row>
        <row r="283">
          <cell r="C283" t="str">
            <v>01-10-1125-000-100-70025</v>
          </cell>
          <cell r="D283" t="str">
            <v>Books &amp; Publications - Acct Ops</v>
          </cell>
          <cell r="E283">
            <v>2366.9115868988624</v>
          </cell>
        </row>
        <row r="284">
          <cell r="C284" t="str">
            <v>01-10-1125-000-100-70028</v>
          </cell>
          <cell r="D284" t="str">
            <v>Copier - Acct Ops</v>
          </cell>
          <cell r="E284">
            <v>34948.239999999998</v>
          </cell>
        </row>
        <row r="285">
          <cell r="C285" t="str">
            <v>01-10-1125-000-100-70030</v>
          </cell>
          <cell r="D285" t="str">
            <v>Dues &amp; Memberships - Acct Ops</v>
          </cell>
          <cell r="E285">
            <v>250</v>
          </cell>
        </row>
        <row r="286">
          <cell r="C286" t="str">
            <v>01-10-1125-000-100-70045</v>
          </cell>
          <cell r="D286" t="str">
            <v>Meetings &amp; Conferences - Acct Ops</v>
          </cell>
          <cell r="E286">
            <v>958.12</v>
          </cell>
        </row>
        <row r="287">
          <cell r="C287" t="str">
            <v>01-10-1125-000-100-70055</v>
          </cell>
          <cell r="D287" t="str">
            <v>Postage &amp; Shipping - Acct Ops</v>
          </cell>
          <cell r="E287">
            <v>48234.14</v>
          </cell>
        </row>
        <row r="288">
          <cell r="C288" t="str">
            <v>01-10-1125-000-100-70075</v>
          </cell>
          <cell r="D288" t="str">
            <v>Staff Dev - Acct Ops</v>
          </cell>
          <cell r="E288">
            <v>1365.1009594730058</v>
          </cell>
        </row>
        <row r="289">
          <cell r="C289" t="str">
            <v>01-10-1125-000-100-70090</v>
          </cell>
          <cell r="D289" t="str">
            <v>Travel - Acct Ops</v>
          </cell>
          <cell r="E289">
            <v>1311.14</v>
          </cell>
        </row>
        <row r="290">
          <cell r="C290" t="str">
            <v>01-10-1125-000-100-70100</v>
          </cell>
          <cell r="D290" t="str">
            <v>Office Supplies - Acct Ops</v>
          </cell>
          <cell r="E290">
            <v>9114.1780645161289</v>
          </cell>
        </row>
        <row r="291">
          <cell r="C291" t="str">
            <v>01-10-1125-000-100-70300</v>
          </cell>
          <cell r="D291" t="str">
            <v>Claims Support - Acct Ops</v>
          </cell>
          <cell r="E291">
            <v>240708.56</v>
          </cell>
        </row>
        <row r="292">
          <cell r="C292" t="str">
            <v>01-10-1125-000-100-70310</v>
          </cell>
          <cell r="D292" t="str">
            <v>Demo Graphic UH Charges - Acct Ops</v>
          </cell>
          <cell r="E292">
            <v>75552</v>
          </cell>
        </row>
        <row r="293">
          <cell r="C293" t="str">
            <v>01-10-1125-000-100-70320</v>
          </cell>
          <cell r="D293" t="str">
            <v>Collect  Agency Commission - Acct Ops</v>
          </cell>
          <cell r="E293">
            <v>648844.6</v>
          </cell>
        </row>
        <row r="294">
          <cell r="C294" t="str">
            <v>01-10-1125-000-100-70550</v>
          </cell>
          <cell r="D294" t="str">
            <v>Furn Fix &amp; Remodel - Acct Ops</v>
          </cell>
          <cell r="E294">
            <v>1343.66</v>
          </cell>
        </row>
        <row r="295">
          <cell r="C295" t="str">
            <v>01-10-1125-000-100-71020</v>
          </cell>
          <cell r="D295" t="str">
            <v>Storage - Acct Ops</v>
          </cell>
          <cell r="E295">
            <v>5873.6513196828028</v>
          </cell>
        </row>
        <row r="296">
          <cell r="C296" t="str">
            <v>01-10-1125-000-100-72030</v>
          </cell>
          <cell r="D296" t="str">
            <v>Recycling - Acct Ops</v>
          </cell>
          <cell r="E296">
            <v>2708.64</v>
          </cell>
        </row>
        <row r="297">
          <cell r="C297" t="str">
            <v>01-10-1125-000-100-72035</v>
          </cell>
          <cell r="D297" t="str">
            <v>Phone - Acct Ops</v>
          </cell>
          <cell r="E297">
            <v>4938.1892857142848</v>
          </cell>
        </row>
        <row r="298">
          <cell r="C298" t="str">
            <v>01-10-1125-000-100-72040</v>
          </cell>
          <cell r="D298" t="str">
            <v>Water - Acct Ops</v>
          </cell>
          <cell r="E298">
            <v>1022.32</v>
          </cell>
        </row>
        <row r="299">
          <cell r="C299" t="str">
            <v>01-10-1125-000-100-98006</v>
          </cell>
          <cell r="D299" t="str">
            <v>FTEs-Dir/Mgr-UNM-Acct Ops</v>
          </cell>
          <cell r="E299">
            <v>6</v>
          </cell>
        </row>
        <row r="300">
          <cell r="C300" t="str">
            <v>01-10-1125-000-100-98010</v>
          </cell>
          <cell r="D300" t="str">
            <v>FTEs-Supervisor-UNMMG-Acct Ops</v>
          </cell>
          <cell r="E300">
            <v>6</v>
          </cell>
        </row>
        <row r="301">
          <cell r="C301" t="str">
            <v>01-10-1125-000-100-98011</v>
          </cell>
          <cell r="D301" t="str">
            <v>FTEs-Supervisor-Account Ops</v>
          </cell>
          <cell r="E301">
            <v>4</v>
          </cell>
        </row>
        <row r="302">
          <cell r="C302" t="str">
            <v>01-10-1125-000-100-98018</v>
          </cell>
          <cell r="D302" t="str">
            <v>FTEs-Clerical-UNMMG-Acct Ops</v>
          </cell>
          <cell r="E302">
            <v>70</v>
          </cell>
        </row>
        <row r="303">
          <cell r="C303" t="str">
            <v>01-10-1125-000-100-98019</v>
          </cell>
          <cell r="D303" t="str">
            <v>FTEs-Clerical-UNM-Acct Ops</v>
          </cell>
          <cell r="E303">
            <v>127</v>
          </cell>
        </row>
        <row r="304">
          <cell r="C304" t="str">
            <v>01-10-1130-000-100-60005</v>
          </cell>
          <cell r="D304" t="str">
            <v>Salaries-Dir Mgr - Coding</v>
          </cell>
          <cell r="E304">
            <v>167899.92</v>
          </cell>
        </row>
        <row r="305">
          <cell r="C305" t="str">
            <v>01-10-1130-000-100-60010</v>
          </cell>
          <cell r="D305" t="str">
            <v>Salaries-Supervisor - Coding</v>
          </cell>
          <cell r="E305">
            <v>184941.8</v>
          </cell>
        </row>
        <row r="306">
          <cell r="C306" t="str">
            <v>01-10-1130-000-100-60013</v>
          </cell>
          <cell r="D306" t="str">
            <v>Salaries-Prof - Coding</v>
          </cell>
          <cell r="E306">
            <v>113132.54</v>
          </cell>
        </row>
        <row r="307">
          <cell r="C307" t="str">
            <v>01-10-1130-000-100-60015</v>
          </cell>
          <cell r="D307" t="str">
            <v>Salaries-Technical - Coding</v>
          </cell>
          <cell r="E307">
            <v>1214582.92</v>
          </cell>
        </row>
        <row r="308">
          <cell r="C308" t="str">
            <v>01-10-1130-000-100-60018</v>
          </cell>
          <cell r="D308" t="str">
            <v>Salaries-Clerical - Coding</v>
          </cell>
          <cell r="E308">
            <v>33277.72</v>
          </cell>
        </row>
        <row r="309">
          <cell r="C309" t="str">
            <v>01-10-1130-000-100-60050</v>
          </cell>
          <cell r="D309" t="str">
            <v>Salaries-Student - Coding</v>
          </cell>
          <cell r="E309">
            <v>13247.94</v>
          </cell>
        </row>
        <row r="310">
          <cell r="C310" t="str">
            <v>01-10-1130-000-100-63300</v>
          </cell>
          <cell r="D310" t="str">
            <v>Bonus Expense - Coding</v>
          </cell>
          <cell r="E310">
            <v>2497.02</v>
          </cell>
        </row>
        <row r="311">
          <cell r="C311" t="str">
            <v>01-10-1130-000-100-63500</v>
          </cell>
          <cell r="D311" t="str">
            <v>Overtime-UNMMG-Coding</v>
          </cell>
          <cell r="E311">
            <v>16478.48</v>
          </cell>
        </row>
        <row r="312">
          <cell r="C312" t="str">
            <v>01-10-1130-000-100-63505</v>
          </cell>
          <cell r="D312" t="str">
            <v>Overtime-UNM-Coding</v>
          </cell>
          <cell r="E312">
            <v>37406.58</v>
          </cell>
        </row>
        <row r="313">
          <cell r="C313" t="str">
            <v>01-10-1130-000-100-64000</v>
          </cell>
          <cell r="D313" t="str">
            <v>Bill UH-Salaries - Coding</v>
          </cell>
          <cell r="E313">
            <v>-13085.4</v>
          </cell>
        </row>
        <row r="314">
          <cell r="C314" t="str">
            <v>01-10-1130-000-100-64002</v>
          </cell>
          <cell r="D314" t="str">
            <v>Billed From UH - Coding</v>
          </cell>
          <cell r="E314">
            <v>141252.26</v>
          </cell>
        </row>
        <row r="315">
          <cell r="C315" t="str">
            <v>01-10-1130-000-100-64050</v>
          </cell>
          <cell r="D315" t="str">
            <v>Emp Benefits-UNM - Coding</v>
          </cell>
          <cell r="E315">
            <v>263347.08</v>
          </cell>
        </row>
        <row r="316">
          <cell r="C316" t="str">
            <v>01-10-1130-000-100-64055</v>
          </cell>
          <cell r="D316" t="str">
            <v>Employee Benefits UNMMG - Coding</v>
          </cell>
          <cell r="E316">
            <v>10052.299999999999</v>
          </cell>
        </row>
        <row r="317">
          <cell r="C317" t="str">
            <v>01-10-1130-000-100-65005</v>
          </cell>
          <cell r="D317" t="str">
            <v>Emp Benefits-STD - Coding</v>
          </cell>
          <cell r="E317">
            <v>3695.44</v>
          </cell>
        </row>
        <row r="318">
          <cell r="C318" t="str">
            <v>01-10-1130-000-100-65008</v>
          </cell>
          <cell r="D318" t="str">
            <v>Emp Benefits-Tuition - Coding</v>
          </cell>
          <cell r="E318">
            <v>3040</v>
          </cell>
        </row>
        <row r="319">
          <cell r="C319" t="str">
            <v>01-10-1130-000-100-67025</v>
          </cell>
          <cell r="D319" t="str">
            <v>ER 403(b) - Coding</v>
          </cell>
          <cell r="E319">
            <v>57221.34</v>
          </cell>
        </row>
        <row r="320">
          <cell r="C320" t="str">
            <v>01-10-1130-000-100-67030</v>
          </cell>
          <cell r="D320" t="str">
            <v>ER Hlth Dental &amp; Vision - Coding</v>
          </cell>
          <cell r="E320">
            <v>65525.94</v>
          </cell>
        </row>
        <row r="321">
          <cell r="C321" t="str">
            <v>01-10-1130-000-100-67050</v>
          </cell>
          <cell r="D321" t="str">
            <v>ER Life Ins - Coding</v>
          </cell>
          <cell r="E321">
            <v>580.96</v>
          </cell>
        </row>
        <row r="322">
          <cell r="C322" t="str">
            <v>01-10-1130-000-100-67100</v>
          </cell>
          <cell r="D322" t="str">
            <v>ER Fica_Mcare - Coding</v>
          </cell>
          <cell r="E322">
            <v>66344.539999999994</v>
          </cell>
        </row>
        <row r="323">
          <cell r="C323" t="str">
            <v>01-10-1130-000-100-67110</v>
          </cell>
          <cell r="D323" t="str">
            <v>ER SUI - Coding</v>
          </cell>
          <cell r="E323">
            <v>4725.5</v>
          </cell>
        </row>
        <row r="324">
          <cell r="C324" t="str">
            <v>01-10-1130-000-100-70025</v>
          </cell>
          <cell r="D324" t="str">
            <v>Books &amp; Publications - Coding</v>
          </cell>
          <cell r="E324">
            <v>52206.79622457557</v>
          </cell>
        </row>
        <row r="325">
          <cell r="C325" t="str">
            <v>01-10-1130-000-100-70028</v>
          </cell>
          <cell r="D325" t="str">
            <v>Copier - Coding</v>
          </cell>
          <cell r="E325">
            <v>32114.560000000001</v>
          </cell>
        </row>
        <row r="326">
          <cell r="C326" t="str">
            <v>01-10-1130-000-100-70030</v>
          </cell>
          <cell r="D326" t="str">
            <v>Dues &amp; Memberships - Coding</v>
          </cell>
          <cell r="E326">
            <v>19069.8</v>
          </cell>
        </row>
        <row r="327">
          <cell r="C327" t="str">
            <v>01-10-1130-000-100-70055</v>
          </cell>
          <cell r="D327" t="str">
            <v>Postage &amp; Shipping - Coding</v>
          </cell>
          <cell r="E327">
            <v>4480.28</v>
          </cell>
        </row>
        <row r="328">
          <cell r="C328" t="str">
            <v>01-10-1130-000-100-70060</v>
          </cell>
          <cell r="D328" t="str">
            <v>Printing - Coding</v>
          </cell>
          <cell r="E328">
            <v>104703.35284387326</v>
          </cell>
        </row>
        <row r="329">
          <cell r="C329" t="str">
            <v>01-10-1130-000-100-70075</v>
          </cell>
          <cell r="D329" t="str">
            <v>Staff Dev - Coding</v>
          </cell>
          <cell r="E329">
            <v>6880.9967062866963</v>
          </cell>
        </row>
        <row r="330">
          <cell r="C330" t="str">
            <v>01-10-1130-000-100-70090</v>
          </cell>
          <cell r="D330" t="str">
            <v>Travel - Coding</v>
          </cell>
          <cell r="E330">
            <v>9584.14</v>
          </cell>
        </row>
        <row r="331">
          <cell r="C331" t="str">
            <v>01-10-1130-000-100-70095</v>
          </cell>
          <cell r="D331" t="str">
            <v>Mileage - Coding</v>
          </cell>
          <cell r="E331">
            <v>32.432432432432435</v>
          </cell>
        </row>
        <row r="332">
          <cell r="C332" t="str">
            <v>01-10-1130-000-100-70100</v>
          </cell>
          <cell r="D332" t="str">
            <v>Office Supplies - Coding</v>
          </cell>
          <cell r="E332">
            <v>8033.829677419355</v>
          </cell>
        </row>
        <row r="333">
          <cell r="C333" t="str">
            <v>01-10-1130-000-100-70420</v>
          </cell>
          <cell r="D333" t="str">
            <v>Software Subscript &amp; Mntnce - Coding</v>
          </cell>
          <cell r="E333">
            <v>21216.577395833709</v>
          </cell>
        </row>
        <row r="334">
          <cell r="C334" t="str">
            <v>01-10-1130-000-100-70550</v>
          </cell>
          <cell r="D334" t="str">
            <v>Furn Fix &amp; Remodel - Coding</v>
          </cell>
          <cell r="E334">
            <v>1116</v>
          </cell>
        </row>
        <row r="335">
          <cell r="C335" t="str">
            <v>01-10-1130-000-100-71020</v>
          </cell>
          <cell r="D335" t="str">
            <v>Storage - Coding</v>
          </cell>
          <cell r="E335">
            <v>5397.4594626583021</v>
          </cell>
        </row>
        <row r="336">
          <cell r="C336" t="str">
            <v>01-10-1130-000-100-72030</v>
          </cell>
          <cell r="D336" t="str">
            <v>Recycling - Coding</v>
          </cell>
          <cell r="E336">
            <v>2489.04</v>
          </cell>
        </row>
        <row r="337">
          <cell r="C337" t="str">
            <v>01-10-1130-000-100-72035</v>
          </cell>
          <cell r="D337" t="str">
            <v>Phone - Coding</v>
          </cell>
          <cell r="E337">
            <v>11265.475</v>
          </cell>
        </row>
        <row r="338">
          <cell r="C338" t="str">
            <v>01-10-1130-000-100-72040</v>
          </cell>
          <cell r="D338" t="str">
            <v>Water - Coding</v>
          </cell>
          <cell r="E338">
            <v>939.44</v>
          </cell>
        </row>
        <row r="339">
          <cell r="C339" t="str">
            <v>01-10-1130-000-100-75005</v>
          </cell>
          <cell r="D339" t="str">
            <v>Bill UH - Printing - Coding</v>
          </cell>
          <cell r="E339">
            <v>40000</v>
          </cell>
        </row>
        <row r="340">
          <cell r="C340" t="str">
            <v>01-10-1130-000-100-98005</v>
          </cell>
          <cell r="D340" t="str">
            <v>FTEs-Dir Mgr-UNMMG-Coding</v>
          </cell>
          <cell r="E340">
            <v>12</v>
          </cell>
        </row>
        <row r="341">
          <cell r="C341" t="str">
            <v>01-10-1130-000-100-98010</v>
          </cell>
          <cell r="D341" t="str">
            <v>FTEs-Supervisor-UNMMG-Coding</v>
          </cell>
          <cell r="E341">
            <v>18</v>
          </cell>
        </row>
        <row r="342">
          <cell r="C342" t="str">
            <v>01-10-1130-000-100-98011</v>
          </cell>
          <cell r="D342" t="str">
            <v>FTEs-Supervisor-UNM-Coding</v>
          </cell>
          <cell r="E342">
            <v>10</v>
          </cell>
        </row>
        <row r="343">
          <cell r="C343" t="str">
            <v>01-10-1130-000-100-98014</v>
          </cell>
          <cell r="D343" t="str">
            <v>FTEs-Prof-UNM-Coding</v>
          </cell>
          <cell r="E343">
            <v>3</v>
          </cell>
        </row>
        <row r="344">
          <cell r="C344" t="str">
            <v>01-10-1130-000-100-98015</v>
          </cell>
          <cell r="D344" t="str">
            <v>FTEs-Technical-UNMMG-Coding</v>
          </cell>
          <cell r="E344">
            <v>86</v>
          </cell>
        </row>
        <row r="345">
          <cell r="C345" t="str">
            <v>01-10-1130-000-100-98016</v>
          </cell>
          <cell r="D345" t="str">
            <v>FTEs-Technical-UNM-Coding</v>
          </cell>
          <cell r="E345">
            <v>102</v>
          </cell>
        </row>
        <row r="346">
          <cell r="C346" t="str">
            <v>01-10-1130-000-100-98050</v>
          </cell>
          <cell r="D346" t="str">
            <v>FTEs-Student-UNMMG-Coding</v>
          </cell>
          <cell r="E346">
            <v>5</v>
          </cell>
        </row>
        <row r="347">
          <cell r="C347" t="str">
            <v>01-10-1135-000-100-60015</v>
          </cell>
          <cell r="D347" t="str">
            <v>Salaries-Technical - Chg Entry</v>
          </cell>
          <cell r="E347">
            <v>40896.58</v>
          </cell>
        </row>
        <row r="348">
          <cell r="C348" t="str">
            <v>01-10-1135-000-100-60018</v>
          </cell>
          <cell r="D348" t="str">
            <v>Salaries-Clerical - Chg Entry</v>
          </cell>
          <cell r="E348">
            <v>519557.74</v>
          </cell>
        </row>
        <row r="349">
          <cell r="C349" t="str">
            <v>01-10-1135-000-100-63310</v>
          </cell>
          <cell r="D349" t="str">
            <v>Severence Expense - Chg Entry</v>
          </cell>
          <cell r="E349">
            <v>2371.1999999999998</v>
          </cell>
        </row>
        <row r="350">
          <cell r="C350" t="str">
            <v>01-10-1135-000-100-63500</v>
          </cell>
          <cell r="D350" t="str">
            <v>Overtime-UNMMG-Chg Entry</v>
          </cell>
          <cell r="E350">
            <v>2251.52</v>
          </cell>
        </row>
        <row r="351">
          <cell r="C351" t="str">
            <v>01-10-1135-000-100-64000</v>
          </cell>
          <cell r="D351" t="str">
            <v>Bill UH-Salaries - Chg Entry</v>
          </cell>
          <cell r="E351">
            <v>-199979</v>
          </cell>
        </row>
        <row r="352">
          <cell r="C352" t="str">
            <v>01-10-1135-000-100-64002</v>
          </cell>
          <cell r="D352" t="str">
            <v>Billed From UH -Salaries-Chg Entry</v>
          </cell>
          <cell r="E352">
            <v>181549.76</v>
          </cell>
        </row>
        <row r="353">
          <cell r="C353" t="str">
            <v>01-10-1135-000-100-64050</v>
          </cell>
          <cell r="D353" t="str">
            <v>Emp Benefits-UNM - Chg Entry</v>
          </cell>
          <cell r="E353">
            <v>122052.22</v>
          </cell>
        </row>
        <row r="354">
          <cell r="C354" t="str">
            <v>01-10-1135-000-100-64055</v>
          </cell>
          <cell r="D354" t="str">
            <v>Employee Benefits UNMMG - Chg Entry</v>
          </cell>
          <cell r="E354">
            <v>1305.6199999999999</v>
          </cell>
        </row>
        <row r="355">
          <cell r="C355" t="str">
            <v>01-10-1135-000-100-65005</v>
          </cell>
          <cell r="D355" t="str">
            <v>Emp Benefits-STD - Chg Entry</v>
          </cell>
          <cell r="E355">
            <v>425.28</v>
          </cell>
        </row>
        <row r="356">
          <cell r="C356" t="str">
            <v>01-10-1135-000-100-67025</v>
          </cell>
          <cell r="D356" t="str">
            <v>ER 403(b) - Chg Entry</v>
          </cell>
          <cell r="E356">
            <v>10606.72</v>
          </cell>
        </row>
        <row r="357">
          <cell r="C357" t="str">
            <v>01-10-1135-000-100-67030</v>
          </cell>
          <cell r="D357" t="str">
            <v>ER Hlth Dental &amp; Vision - Chg Entry</v>
          </cell>
          <cell r="E357">
            <v>11498.28</v>
          </cell>
        </row>
        <row r="358">
          <cell r="C358" t="str">
            <v>01-10-1135-000-100-67050</v>
          </cell>
          <cell r="D358" t="str">
            <v>ER Life Ins - Chg Entry</v>
          </cell>
          <cell r="E358">
            <v>9.9600000000000009</v>
          </cell>
        </row>
        <row r="359">
          <cell r="C359" t="str">
            <v>01-10-1135-000-100-67100</v>
          </cell>
          <cell r="D359" t="str">
            <v>ER Fica_Mcare - Chg Entry</v>
          </cell>
          <cell r="E359">
            <v>7610.76</v>
          </cell>
        </row>
        <row r="360">
          <cell r="C360" t="str">
            <v>01-10-1135-000-100-67110</v>
          </cell>
          <cell r="D360" t="str">
            <v>ER SUI - Chg Entry</v>
          </cell>
          <cell r="E360">
            <v>1104.46</v>
          </cell>
        </row>
        <row r="361">
          <cell r="C361" t="str">
            <v>01-10-1135-000-100-70028</v>
          </cell>
          <cell r="D361" t="str">
            <v>Copier - Chg Entry</v>
          </cell>
          <cell r="E361">
            <v>17946.38</v>
          </cell>
        </row>
        <row r="362">
          <cell r="C362" t="str">
            <v>01-10-1135-000-100-70030</v>
          </cell>
          <cell r="D362" t="str">
            <v>Dues &amp; Memberships - Chg Entry</v>
          </cell>
          <cell r="E362">
            <v>3460</v>
          </cell>
        </row>
        <row r="363">
          <cell r="C363" t="str">
            <v>01-10-1135-000-100-70040</v>
          </cell>
          <cell r="D363" t="str">
            <v>Materials &amp; Services - Chg Entry</v>
          </cell>
          <cell r="E363">
            <v>141214.5827857143</v>
          </cell>
        </row>
        <row r="364">
          <cell r="C364" t="str">
            <v>01-10-1135-000-100-70055</v>
          </cell>
          <cell r="D364" t="str">
            <v>Postage &amp; Shipping - Chg Entry</v>
          </cell>
          <cell r="E364">
            <v>2503.66</v>
          </cell>
        </row>
        <row r="365">
          <cell r="C365" t="str">
            <v>01-10-1135-000-100-70075</v>
          </cell>
          <cell r="D365" t="str">
            <v>Staff Dev - Chg Entry</v>
          </cell>
          <cell r="E365">
            <v>431.3275096663325</v>
          </cell>
        </row>
        <row r="366">
          <cell r="C366" t="str">
            <v>01-10-1135-000-100-70090</v>
          </cell>
          <cell r="D366" t="str">
            <v>Travel - Chg Entry</v>
          </cell>
          <cell r="E366">
            <v>921.8</v>
          </cell>
        </row>
        <row r="367">
          <cell r="C367" t="str">
            <v>01-10-1135-000-100-70100</v>
          </cell>
          <cell r="D367" t="str">
            <v>Office Supplies - Chg Entry</v>
          </cell>
          <cell r="E367">
            <v>5228.0593548387087</v>
          </cell>
        </row>
        <row r="368">
          <cell r="C368" t="str">
            <v>01-10-1135-000-100-70550</v>
          </cell>
          <cell r="D368" t="str">
            <v>Furn Fix &amp; Remodel - Chg Entry</v>
          </cell>
          <cell r="E368">
            <v>3342</v>
          </cell>
        </row>
        <row r="369">
          <cell r="C369" t="str">
            <v>01-10-1135-000-100-71020</v>
          </cell>
          <cell r="D369" t="str">
            <v>Storage - Chg Entry</v>
          </cell>
          <cell r="E369">
            <v>3016.1965913125809</v>
          </cell>
        </row>
        <row r="370">
          <cell r="C370" t="str">
            <v>01-10-1135-000-100-72030</v>
          </cell>
          <cell r="D370" t="str">
            <v>Recycling - Charge Entry</v>
          </cell>
          <cell r="E370">
            <v>1390.94</v>
          </cell>
        </row>
        <row r="371">
          <cell r="C371" t="str">
            <v>01-10-1135-000-100-72035</v>
          </cell>
          <cell r="D371" t="str">
            <v>Phone - Chg Entry</v>
          </cell>
          <cell r="E371">
            <v>631.1267857142858</v>
          </cell>
        </row>
        <row r="372">
          <cell r="C372" t="str">
            <v>01-10-1135-000-100-72040</v>
          </cell>
          <cell r="D372" t="str">
            <v>Water - Charge Entry</v>
          </cell>
          <cell r="E372">
            <v>524.96</v>
          </cell>
        </row>
        <row r="373">
          <cell r="C373" t="str">
            <v>01-10-1135-000-100-98016</v>
          </cell>
          <cell r="D373" t="str">
            <v>FTEs-Technical-UNM-ChgEntry</v>
          </cell>
          <cell r="E373">
            <v>4</v>
          </cell>
        </row>
        <row r="374">
          <cell r="C374" t="str">
            <v>01-10-1135-000-100-98018</v>
          </cell>
          <cell r="D374" t="str">
            <v>FTEs-Clerical-UNMMG-Chg Entry</v>
          </cell>
          <cell r="E374">
            <v>21</v>
          </cell>
        </row>
        <row r="375">
          <cell r="C375" t="str">
            <v>01-10-1135-000-100-98019</v>
          </cell>
          <cell r="D375" t="str">
            <v>FTEs-Clerical-UNM-Chg Entry</v>
          </cell>
          <cell r="E375">
            <v>75</v>
          </cell>
        </row>
        <row r="376">
          <cell r="C376" t="str">
            <v>01-10-1150-000-100-60018</v>
          </cell>
          <cell r="D376" t="str">
            <v>Salaries-Clerical - SVP Clinical Ops</v>
          </cell>
          <cell r="E376">
            <v>35298.239999999998</v>
          </cell>
        </row>
        <row r="377">
          <cell r="C377" t="str">
            <v>01-10-1150-000-100-60080</v>
          </cell>
          <cell r="D377" t="str">
            <v>Medical Director Fees-Clinical Ops</v>
          </cell>
          <cell r="E377">
            <v>55379.16</v>
          </cell>
        </row>
        <row r="378">
          <cell r="C378" t="str">
            <v>01-10-1150-000-100-60085</v>
          </cell>
          <cell r="D378" t="str">
            <v>Salaries Faculty Providers - Mgmt Co</v>
          </cell>
          <cell r="E378">
            <v>78985.86</v>
          </cell>
        </row>
        <row r="379">
          <cell r="C379" t="str">
            <v>01-10-1150-000-100-63500</v>
          </cell>
          <cell r="D379" t="str">
            <v>Overtime-UNMMG-Clinical Ops</v>
          </cell>
          <cell r="E379">
            <v>373.98</v>
          </cell>
        </row>
        <row r="380">
          <cell r="C380" t="str">
            <v>01-10-1150-000-100-64050</v>
          </cell>
          <cell r="D380" t="str">
            <v>Emp Benefits-UNM - SVP Clinical Ops</v>
          </cell>
          <cell r="E380">
            <v>29364.080000000002</v>
          </cell>
        </row>
        <row r="381">
          <cell r="C381" t="str">
            <v>01-10-1150-000-100-64055</v>
          </cell>
          <cell r="D381" t="str">
            <v>Employee Benefits UNMMG - SVP Clinical Ops</v>
          </cell>
          <cell r="E381">
            <v>624.64</v>
          </cell>
        </row>
        <row r="382">
          <cell r="C382" t="str">
            <v>01-10-1150-000-100-65005</v>
          </cell>
          <cell r="D382" t="str">
            <v>Emp Benefits-STD - SVP Clinical Ops</v>
          </cell>
          <cell r="E382">
            <v>140.19999999999999</v>
          </cell>
        </row>
        <row r="383">
          <cell r="C383" t="str">
            <v>01-10-1150-000-100-67025</v>
          </cell>
          <cell r="D383" t="str">
            <v>ER 403(b) - SVP Clinical Ops</v>
          </cell>
          <cell r="E383">
            <v>991.1</v>
          </cell>
        </row>
        <row r="384">
          <cell r="C384" t="str">
            <v>01-10-1150-000-100-67030</v>
          </cell>
          <cell r="D384" t="str">
            <v>ER Hlth Dental &amp; Vision - SVP Clinical Ops</v>
          </cell>
          <cell r="E384">
            <v>4239.3599999999997</v>
          </cell>
        </row>
        <row r="385">
          <cell r="C385" t="str">
            <v>01-10-1150-000-100-67100</v>
          </cell>
          <cell r="D385" t="str">
            <v>ER Fica_Mcare - SVP Clinical Ops</v>
          </cell>
          <cell r="E385">
            <v>2418.08</v>
          </cell>
        </row>
        <row r="386">
          <cell r="C386" t="str">
            <v>01-10-1150-000-100-67110</v>
          </cell>
          <cell r="D386" t="str">
            <v>ER SUI - SVP Clinical Ops</v>
          </cell>
          <cell r="E386">
            <v>196.4</v>
          </cell>
        </row>
        <row r="387">
          <cell r="C387" t="str">
            <v>01-10-1150-000-100-70025</v>
          </cell>
          <cell r="D387" t="str">
            <v>Books &amp; Publications - SVP Clinical Ops</v>
          </cell>
          <cell r="E387">
            <v>182.44702084620789</v>
          </cell>
        </row>
        <row r="388">
          <cell r="C388" t="str">
            <v>01-10-1150-000-100-70075</v>
          </cell>
          <cell r="D388" t="str">
            <v>Staff Dev - SVP Clinical Ops</v>
          </cell>
          <cell r="E388">
            <v>1453.7992266933984</v>
          </cell>
        </row>
        <row r="389">
          <cell r="C389" t="str">
            <v>01-10-1150-000-100-72035</v>
          </cell>
          <cell r="D389" t="str">
            <v>Phone - SVP Clinical Ops</v>
          </cell>
          <cell r="E389">
            <v>3003.65</v>
          </cell>
        </row>
        <row r="390">
          <cell r="C390" t="str">
            <v>01-10-1150-000-100-98018</v>
          </cell>
          <cell r="D390" t="str">
            <v>FTEs-Clerical-UNMMG-SVP Clinical Ops</v>
          </cell>
          <cell r="E390">
            <v>6</v>
          </cell>
        </row>
        <row r="391">
          <cell r="C391" t="str">
            <v>01-10-1150-000-100-98081</v>
          </cell>
          <cell r="D391" t="str">
            <v>FTEs-Med Dir-UNM-Clinical Ops</v>
          </cell>
          <cell r="E391">
            <v>3</v>
          </cell>
        </row>
        <row r="392">
          <cell r="C392" t="str">
            <v>01-10-1180-000-100-60005</v>
          </cell>
          <cell r="D392" t="str">
            <v>Salaries-Dir Mgr - Practice Mgmt</v>
          </cell>
          <cell r="E392">
            <v>96150.92</v>
          </cell>
        </row>
        <row r="393">
          <cell r="C393" t="str">
            <v>01-10-1180-000-100-60013</v>
          </cell>
          <cell r="D393" t="str">
            <v>Salaries-Prof - Practice Mgmt</v>
          </cell>
          <cell r="E393">
            <v>78263.66</v>
          </cell>
        </row>
        <row r="394">
          <cell r="C394" t="str">
            <v>01-10-1180-000-100-60025</v>
          </cell>
          <cell r="D394" t="str">
            <v>Patient Svcs Coordinator - Practice Mgmt</v>
          </cell>
          <cell r="E394">
            <v>80770.100000000006</v>
          </cell>
        </row>
        <row r="395">
          <cell r="C395" t="str">
            <v>01-10-1180-000-100-62010</v>
          </cell>
          <cell r="D395" t="str">
            <v>Salaries-RN-Pract Mgmt</v>
          </cell>
          <cell r="E395">
            <v>53470.8</v>
          </cell>
        </row>
        <row r="396">
          <cell r="C396" t="str">
            <v>01-10-1180-000-100-62025</v>
          </cell>
          <cell r="D396" t="str">
            <v>Salaries-MA - Practice Management</v>
          </cell>
          <cell r="E396">
            <v>83811.42</v>
          </cell>
        </row>
        <row r="397">
          <cell r="C397" t="str">
            <v>01-10-1180-000-100-62090</v>
          </cell>
          <cell r="D397" t="str">
            <v>Salaries - Dental Assisitant -Practice Mgmt</v>
          </cell>
          <cell r="E397">
            <v>30565.88</v>
          </cell>
        </row>
        <row r="398">
          <cell r="C398" t="str">
            <v>01-10-1180-000-100-63300</v>
          </cell>
          <cell r="D398" t="str">
            <v>Bonus Expense - Practice Mgmt</v>
          </cell>
          <cell r="E398">
            <v>2122</v>
          </cell>
        </row>
        <row r="399">
          <cell r="C399" t="str">
            <v>01-10-1180-000-100-63310</v>
          </cell>
          <cell r="D399" t="str">
            <v>Severence Expense - Practice Mgmt</v>
          </cell>
          <cell r="E399">
            <v>2400</v>
          </cell>
        </row>
        <row r="400">
          <cell r="C400" t="str">
            <v>01-10-1180-000-100-63500</v>
          </cell>
          <cell r="D400" t="str">
            <v>Overtime-UNMMG-Practice Mgmt</v>
          </cell>
          <cell r="E400">
            <v>1562.74</v>
          </cell>
        </row>
        <row r="401">
          <cell r="C401" t="str">
            <v>01-10-1180-000-100-64002</v>
          </cell>
          <cell r="D401" t="str">
            <v>Billed From UH - Practice Mgmt</v>
          </cell>
          <cell r="E401">
            <v>98754.68</v>
          </cell>
        </row>
        <row r="402">
          <cell r="C402" t="str">
            <v>01-10-1180-000-100-64055</v>
          </cell>
          <cell r="D402" t="str">
            <v>Employee Benefits UNMMG - Practice Mgmt</v>
          </cell>
          <cell r="E402">
            <v>1849.4</v>
          </cell>
        </row>
        <row r="403">
          <cell r="C403" t="str">
            <v>01-10-1180-000-100-65005</v>
          </cell>
          <cell r="D403" t="str">
            <v>Emp Benefits-STD - Practice Mgmt</v>
          </cell>
          <cell r="E403">
            <v>1711.1</v>
          </cell>
        </row>
        <row r="404">
          <cell r="C404" t="str">
            <v>01-10-1180-000-100-67025</v>
          </cell>
          <cell r="D404" t="str">
            <v>ER 403(b) - Practice Mgmt</v>
          </cell>
          <cell r="E404">
            <v>9898.8799999999992</v>
          </cell>
        </row>
        <row r="405">
          <cell r="C405" t="str">
            <v>01-10-1180-000-100-67030</v>
          </cell>
          <cell r="D405" t="str">
            <v>ER Hlth Dental &amp; Vision - Practice Mgmt</v>
          </cell>
          <cell r="E405">
            <v>23299.56</v>
          </cell>
        </row>
        <row r="406">
          <cell r="C406" t="str">
            <v>01-10-1180-000-100-67050</v>
          </cell>
          <cell r="D406" t="str">
            <v>ER Life Ins - Practice Mgmt</v>
          </cell>
          <cell r="E406">
            <v>679.6</v>
          </cell>
        </row>
        <row r="407">
          <cell r="C407" t="str">
            <v>01-10-1180-000-100-67100</v>
          </cell>
          <cell r="D407" t="str">
            <v>ER Fica_Mcare - Practice Mgmt</v>
          </cell>
          <cell r="E407">
            <v>30969.439999999999</v>
          </cell>
        </row>
        <row r="408">
          <cell r="C408" t="str">
            <v>01-10-1180-000-100-67110</v>
          </cell>
          <cell r="D408" t="str">
            <v>ER SUI - Practice Mgmt</v>
          </cell>
          <cell r="E408">
            <v>3163.76</v>
          </cell>
        </row>
        <row r="409">
          <cell r="C409" t="str">
            <v>01-10-1180-000-100-70012</v>
          </cell>
          <cell r="D409" t="str">
            <v>Backgrd Checks -Practice Mgmt</v>
          </cell>
          <cell r="E409">
            <v>469.74</v>
          </cell>
        </row>
        <row r="410">
          <cell r="C410" t="str">
            <v>01-10-1180-000-100-70028</v>
          </cell>
          <cell r="D410" t="str">
            <v>Copier - Practice Mgmt</v>
          </cell>
          <cell r="E410">
            <v>9445.4599999999991</v>
          </cell>
        </row>
        <row r="411">
          <cell r="C411" t="str">
            <v>01-10-1180-000-100-70030</v>
          </cell>
          <cell r="D411" t="str">
            <v>Dues &amp; Memberships - Practice Mgmt</v>
          </cell>
          <cell r="E411">
            <v>1360</v>
          </cell>
        </row>
        <row r="412">
          <cell r="C412" t="str">
            <v>01-10-1180-000-100-70040</v>
          </cell>
          <cell r="D412" t="str">
            <v>Materials &amp; Services - Practice Mgmt</v>
          </cell>
          <cell r="E412">
            <v>239.55714285714285</v>
          </cell>
        </row>
        <row r="413">
          <cell r="C413" t="str">
            <v>01-10-1180-000-100-70045</v>
          </cell>
          <cell r="D413" t="str">
            <v>Meetings &amp; Conferences - Practice Mgmt</v>
          </cell>
          <cell r="E413">
            <v>88.04</v>
          </cell>
        </row>
        <row r="414">
          <cell r="C414" t="str">
            <v>01-10-1180-000-100-70055</v>
          </cell>
          <cell r="D414" t="str">
            <v>Postage &amp; Shipping - Practice Mgmt</v>
          </cell>
          <cell r="E414">
            <v>1317.72</v>
          </cell>
        </row>
        <row r="415">
          <cell r="C415" t="str">
            <v>01-10-1180-000-100-70075</v>
          </cell>
          <cell r="D415" t="str">
            <v>Staff Dev - Practice Mgmt</v>
          </cell>
          <cell r="E415">
            <v>11442.431619647716</v>
          </cell>
        </row>
        <row r="416">
          <cell r="C416" t="str">
            <v>01-10-1180-000-100-70090</v>
          </cell>
          <cell r="D416" t="str">
            <v>Travel - Practice Mgmt</v>
          </cell>
          <cell r="E416">
            <v>2707.36</v>
          </cell>
        </row>
        <row r="417">
          <cell r="C417" t="str">
            <v>01-10-1180-000-100-70095</v>
          </cell>
          <cell r="D417" t="str">
            <v>Mileage - Practice Mgmt</v>
          </cell>
          <cell r="E417">
            <v>6359.8702702702712</v>
          </cell>
        </row>
        <row r="418">
          <cell r="C418" t="str">
            <v>01-10-1180-000-100-70100</v>
          </cell>
          <cell r="D418" t="str">
            <v>Office Supplies - Practice Mgmt</v>
          </cell>
          <cell r="E418">
            <v>4243.6567741935487</v>
          </cell>
        </row>
        <row r="419">
          <cell r="C419" t="str">
            <v>01-10-1180-000-100-70500</v>
          </cell>
          <cell r="D419" t="str">
            <v>Consultants - Practice Mgmt</v>
          </cell>
          <cell r="E419">
            <v>11841.7</v>
          </cell>
        </row>
        <row r="420">
          <cell r="C420" t="str">
            <v>01-10-1180-000-100-71020</v>
          </cell>
          <cell r="D420" t="str">
            <v>Storage - Practice Mgmt</v>
          </cell>
          <cell r="E420">
            <v>1587.5198248313409</v>
          </cell>
        </row>
        <row r="421">
          <cell r="C421" t="str">
            <v>01-10-1180-000-100-72030</v>
          </cell>
          <cell r="D421" t="str">
            <v>Recycling - Pract. Mgmt</v>
          </cell>
          <cell r="E421">
            <v>570.41999999999996</v>
          </cell>
        </row>
        <row r="422">
          <cell r="C422" t="str">
            <v>01-10-1180-000-100-72035</v>
          </cell>
          <cell r="D422" t="str">
            <v>Phone - Practice Mgmt</v>
          </cell>
          <cell r="E422">
            <v>7894.3428571428567</v>
          </cell>
        </row>
        <row r="423">
          <cell r="C423" t="str">
            <v>01-10-1180-000-100-72040</v>
          </cell>
          <cell r="D423" t="str">
            <v>Water - Practice Mgmt</v>
          </cell>
          <cell r="E423">
            <v>276.3</v>
          </cell>
        </row>
        <row r="424">
          <cell r="C424" t="str">
            <v>01-10-1180-000-100-75013</v>
          </cell>
          <cell r="D424" t="str">
            <v>Billed From UH-Svcs-Practice Mgmt</v>
          </cell>
          <cell r="E424">
            <v>8456.0400000000009</v>
          </cell>
        </row>
        <row r="425">
          <cell r="C425" t="str">
            <v>01-10-1180-000-100-98005</v>
          </cell>
          <cell r="D425" t="str">
            <v>FTEs-Dir Mgr-UNMMG-PractMgmt</v>
          </cell>
          <cell r="E425">
            <v>6</v>
          </cell>
        </row>
        <row r="426">
          <cell r="C426" t="str">
            <v>01-10-1180-000-100-98013</v>
          </cell>
          <cell r="D426" t="str">
            <v>FTEs-Prof-UNMMG-Practice Mgmt</v>
          </cell>
          <cell r="E426">
            <v>12</v>
          </cell>
        </row>
        <row r="427">
          <cell r="C427" t="str">
            <v>01-10-1180-000-100-98025</v>
          </cell>
          <cell r="D427" t="str">
            <v>FTEs - Patient Svcs Coord-UNMMG-Pract Mgmt</v>
          </cell>
          <cell r="E427">
            <v>15</v>
          </cell>
        </row>
        <row r="428">
          <cell r="C428" t="str">
            <v>01-10-1180-000-100-98110</v>
          </cell>
          <cell r="D428" t="str">
            <v>FTE RN-UNMMG-Pract Mgmt</v>
          </cell>
          <cell r="E428">
            <v>6</v>
          </cell>
        </row>
        <row r="429">
          <cell r="C429" t="str">
            <v>01-10-1180-000-100-98125</v>
          </cell>
          <cell r="D429" t="str">
            <v>FTEs-MA-UNMMG-Pract Mgmt</v>
          </cell>
          <cell r="E429">
            <v>24</v>
          </cell>
        </row>
        <row r="430">
          <cell r="C430" t="str">
            <v>01-10-1200-000-100-60005</v>
          </cell>
          <cell r="D430" t="str">
            <v>Salaries-Dir Mgr - MIS</v>
          </cell>
          <cell r="E430">
            <v>24000</v>
          </cell>
        </row>
        <row r="431">
          <cell r="C431" t="str">
            <v>01-10-1200-000-100-60013</v>
          </cell>
          <cell r="D431" t="str">
            <v>Salaries-Prof - MIS</v>
          </cell>
          <cell r="E431">
            <v>466580.78</v>
          </cell>
        </row>
        <row r="432">
          <cell r="C432" t="str">
            <v>01-10-1200-000-100-60015</v>
          </cell>
          <cell r="D432" t="str">
            <v>Salaries-Technical - MIS</v>
          </cell>
          <cell r="E432">
            <v>250080.44</v>
          </cell>
        </row>
        <row r="433">
          <cell r="C433" t="str">
            <v>01-10-1200-000-100-60050</v>
          </cell>
          <cell r="D433" t="str">
            <v>Salaries-Student - MIS</v>
          </cell>
          <cell r="E433">
            <v>7233.6</v>
          </cell>
        </row>
        <row r="434">
          <cell r="C434" t="str">
            <v>01-10-1200-000-100-60070</v>
          </cell>
          <cell r="D434" t="str">
            <v>Contract Labor - MIS</v>
          </cell>
          <cell r="E434">
            <v>84008.5</v>
          </cell>
        </row>
        <row r="435">
          <cell r="C435" t="str">
            <v>01-10-1200-000-100-63300</v>
          </cell>
          <cell r="D435" t="str">
            <v>Bonus Expense - MIS</v>
          </cell>
          <cell r="E435">
            <v>611.77</v>
          </cell>
        </row>
        <row r="436">
          <cell r="C436" t="str">
            <v>01-10-1200-000-100-63310</v>
          </cell>
          <cell r="D436" t="str">
            <v>Severence Expense - MIS</v>
          </cell>
          <cell r="E436">
            <v>4365.84</v>
          </cell>
        </row>
        <row r="437">
          <cell r="C437" t="str">
            <v>01-10-1200-000-100-63320</v>
          </cell>
          <cell r="D437" t="str">
            <v>Moving Expense - MIS</v>
          </cell>
          <cell r="E437">
            <v>14457.66</v>
          </cell>
        </row>
        <row r="438">
          <cell r="C438" t="str">
            <v>01-10-1200-000-100-63500</v>
          </cell>
          <cell r="D438" t="str">
            <v>Overtime-UNMMG-MIS</v>
          </cell>
          <cell r="E438">
            <v>547.86</v>
          </cell>
        </row>
        <row r="439">
          <cell r="C439" t="str">
            <v>01-10-1200-000-100-64002</v>
          </cell>
          <cell r="D439" t="str">
            <v>Billed From UH -Salaries-MIS</v>
          </cell>
          <cell r="E439">
            <v>114823.92</v>
          </cell>
        </row>
        <row r="440">
          <cell r="C440" t="str">
            <v>01-10-1200-000-100-64050</v>
          </cell>
          <cell r="D440" t="str">
            <v>Emp Benefits-UNM - MIS</v>
          </cell>
          <cell r="E440">
            <v>32625.78</v>
          </cell>
        </row>
        <row r="441">
          <cell r="C441" t="str">
            <v>01-10-1200-000-100-64055</v>
          </cell>
          <cell r="D441" t="str">
            <v>Employee Benefits UNMMG - MIS</v>
          </cell>
          <cell r="E441">
            <v>3091.32</v>
          </cell>
        </row>
        <row r="442">
          <cell r="C442" t="str">
            <v>01-10-1200-000-100-65005</v>
          </cell>
          <cell r="D442" t="str">
            <v>Emp Benefits-STD - MIS</v>
          </cell>
          <cell r="E442">
            <v>2320.96</v>
          </cell>
        </row>
        <row r="443">
          <cell r="C443" t="str">
            <v>01-10-1200-000-100-65008</v>
          </cell>
          <cell r="D443" t="str">
            <v>Emp Benefits-Tuition - MIS</v>
          </cell>
          <cell r="E443">
            <v>13096.98</v>
          </cell>
        </row>
        <row r="444">
          <cell r="C444" t="str">
            <v>01-10-1200-000-100-65010</v>
          </cell>
          <cell r="D444" t="str">
            <v>Emp Benefits-Misc EE Benefits- MIS</v>
          </cell>
          <cell r="E444">
            <v>684</v>
          </cell>
        </row>
        <row r="445">
          <cell r="C445" t="str">
            <v>01-10-1200-000-100-67025</v>
          </cell>
          <cell r="D445" t="str">
            <v>ER 403(b) - MIS</v>
          </cell>
          <cell r="E445">
            <v>39992.86</v>
          </cell>
        </row>
        <row r="446">
          <cell r="C446" t="str">
            <v>01-10-1200-000-100-67030</v>
          </cell>
          <cell r="D446" t="str">
            <v>ER Hlth Dental &amp; Vision - MIS</v>
          </cell>
          <cell r="E446">
            <v>59361.4</v>
          </cell>
        </row>
        <row r="447">
          <cell r="C447" t="str">
            <v>01-10-1200-000-100-67050</v>
          </cell>
          <cell r="D447" t="str">
            <v>ER Life Ins - MIS</v>
          </cell>
          <cell r="E447">
            <v>507.96</v>
          </cell>
        </row>
        <row r="448">
          <cell r="C448" t="str">
            <v>01-10-1200-000-100-67100</v>
          </cell>
          <cell r="D448" t="str">
            <v>ER Fica_Mcare - MIS</v>
          </cell>
          <cell r="E448">
            <v>43718.38</v>
          </cell>
        </row>
        <row r="449">
          <cell r="C449" t="str">
            <v>01-10-1200-000-100-67110</v>
          </cell>
          <cell r="D449" t="str">
            <v>ER SUI - MIS</v>
          </cell>
          <cell r="E449">
            <v>2257.66</v>
          </cell>
        </row>
        <row r="450">
          <cell r="C450" t="str">
            <v>01-10-1200-000-100-70012</v>
          </cell>
          <cell r="D450" t="str">
            <v>Backgrd Checks -MIS</v>
          </cell>
          <cell r="E450">
            <v>155.56</v>
          </cell>
        </row>
        <row r="451">
          <cell r="C451" t="str">
            <v>01-10-1200-000-100-70028</v>
          </cell>
          <cell r="D451" t="str">
            <v>Copier - MIS</v>
          </cell>
          <cell r="E451">
            <v>14640.46</v>
          </cell>
        </row>
        <row r="452">
          <cell r="C452" t="str">
            <v>01-10-1200-000-100-70030</v>
          </cell>
          <cell r="D452" t="str">
            <v>Dues &amp; Memberships - MIS</v>
          </cell>
          <cell r="E452">
            <v>300</v>
          </cell>
        </row>
        <row r="453">
          <cell r="C453" t="str">
            <v>01-10-1200-000-100-70040</v>
          </cell>
          <cell r="D453" t="str">
            <v>Materials &amp; Services - MIS</v>
          </cell>
          <cell r="E453">
            <v>2266.2982142857145</v>
          </cell>
        </row>
        <row r="454">
          <cell r="C454" t="str">
            <v>01-10-1200-000-100-70045</v>
          </cell>
          <cell r="D454" t="str">
            <v>Meetings &amp; Conferences - MIS</v>
          </cell>
          <cell r="E454">
            <v>564.86</v>
          </cell>
        </row>
        <row r="455">
          <cell r="C455" t="str">
            <v>01-10-1200-000-100-70055</v>
          </cell>
          <cell r="D455" t="str">
            <v>Postage &amp; Shipping - MIS</v>
          </cell>
          <cell r="E455">
            <v>2042.48</v>
          </cell>
        </row>
        <row r="456">
          <cell r="C456" t="str">
            <v>01-10-1200-000-100-70070</v>
          </cell>
          <cell r="D456" t="str">
            <v>Recruitment - MIS</v>
          </cell>
          <cell r="E456">
            <v>9135.7000000000007</v>
          </cell>
        </row>
        <row r="457">
          <cell r="C457" t="str">
            <v>01-10-1200-000-100-70090</v>
          </cell>
          <cell r="D457" t="str">
            <v>Travel - MIS</v>
          </cell>
          <cell r="E457">
            <v>1982.86</v>
          </cell>
        </row>
        <row r="458">
          <cell r="C458" t="str">
            <v>01-10-1200-000-100-70095</v>
          </cell>
          <cell r="D458" t="str">
            <v>Mileage - MIS</v>
          </cell>
          <cell r="E458">
            <v>37.621621621621621</v>
          </cell>
        </row>
        <row r="459">
          <cell r="C459" t="str">
            <v>01-10-1200-000-100-70100</v>
          </cell>
          <cell r="D459" t="str">
            <v>Office Supplies - MIS</v>
          </cell>
          <cell r="E459">
            <v>5473.0219354838709</v>
          </cell>
        </row>
        <row r="460">
          <cell r="C460" t="str">
            <v>01-10-1200-000-100-70310</v>
          </cell>
          <cell r="D460" t="str">
            <v>Demo Graphic UH Charges - MIS</v>
          </cell>
          <cell r="E460">
            <v>8000.04</v>
          </cell>
        </row>
        <row r="461">
          <cell r="C461" t="str">
            <v>01-10-1200-000-100-70410</v>
          </cell>
          <cell r="D461" t="str">
            <v>Computer  Costs - MIS</v>
          </cell>
          <cell r="E461">
            <v>46247.1</v>
          </cell>
        </row>
        <row r="462">
          <cell r="C462" t="str">
            <v>01-10-1200-000-100-70420</v>
          </cell>
          <cell r="D462" t="str">
            <v>Software Subscript &amp; Mntnce - MIS</v>
          </cell>
          <cell r="E462">
            <v>768625.5049587579</v>
          </cell>
        </row>
        <row r="463">
          <cell r="C463" t="str">
            <v>01-10-1200-000-100-70500</v>
          </cell>
          <cell r="D463" t="str">
            <v>Consultants - MIS</v>
          </cell>
          <cell r="E463">
            <v>35128</v>
          </cell>
        </row>
        <row r="464">
          <cell r="C464" t="str">
            <v>01-10-1200-000-100-70550</v>
          </cell>
          <cell r="D464" t="str">
            <v>Furn Fix &amp; Remodel - MIS</v>
          </cell>
          <cell r="E464">
            <v>400</v>
          </cell>
        </row>
        <row r="465">
          <cell r="C465" t="str">
            <v>01-10-1200-000-100-71020</v>
          </cell>
          <cell r="D465" t="str">
            <v>Storage - MIS</v>
          </cell>
          <cell r="E465">
            <v>2460.6338028169016</v>
          </cell>
        </row>
        <row r="466">
          <cell r="C466" t="str">
            <v>01-10-1200-000-100-72030</v>
          </cell>
          <cell r="D466" t="str">
            <v>Recycling - MIS</v>
          </cell>
          <cell r="E466">
            <v>1134.72</v>
          </cell>
        </row>
        <row r="467">
          <cell r="C467" t="str">
            <v>01-10-1200-000-100-72035</v>
          </cell>
          <cell r="D467" t="str">
            <v>Phone - MIS</v>
          </cell>
          <cell r="E467">
            <v>6957.9482142857141</v>
          </cell>
        </row>
        <row r="468">
          <cell r="C468" t="str">
            <v>01-10-1200-000-100-72040</v>
          </cell>
          <cell r="D468" t="str">
            <v>Water - MIS</v>
          </cell>
          <cell r="E468">
            <v>428.28</v>
          </cell>
        </row>
        <row r="469">
          <cell r="C469" t="str">
            <v>01-10-1200-000-100-75015</v>
          </cell>
          <cell r="D469" t="str">
            <v>Billed to UH IDX Support - MIS</v>
          </cell>
          <cell r="E469">
            <v>-213194.66</v>
          </cell>
        </row>
        <row r="470">
          <cell r="C470" t="str">
            <v>01-10-1200-000-100-75016</v>
          </cell>
          <cell r="D470" t="str">
            <v>Billed from UH-Computers-MIS</v>
          </cell>
          <cell r="E470">
            <v>77934</v>
          </cell>
        </row>
        <row r="471">
          <cell r="C471" t="str">
            <v>01-10-1200-000-100-98006</v>
          </cell>
          <cell r="D471" t="str">
            <v>FTEs-Dir/Mgr-UNM-MIS</v>
          </cell>
          <cell r="E471">
            <v>3</v>
          </cell>
        </row>
        <row r="472">
          <cell r="C472" t="str">
            <v>01-10-1200-000-100-98013</v>
          </cell>
          <cell r="D472" t="str">
            <v>FTEs-Prof-UNMMG-MIS</v>
          </cell>
          <cell r="E472">
            <v>38</v>
          </cell>
        </row>
        <row r="473">
          <cell r="C473" t="str">
            <v>01-10-1200-000-100-98014</v>
          </cell>
          <cell r="D473" t="str">
            <v>FTEs-Prof-UNM-MIS</v>
          </cell>
          <cell r="E473">
            <v>7</v>
          </cell>
        </row>
        <row r="474">
          <cell r="C474" t="str">
            <v>01-10-1200-000-100-98015</v>
          </cell>
          <cell r="D474" t="str">
            <v>FTEs-Technical-UNMMG-MIS</v>
          </cell>
          <cell r="E474">
            <v>30</v>
          </cell>
        </row>
        <row r="475">
          <cell r="C475" t="str">
            <v>01-10-1200-000-100-98051</v>
          </cell>
          <cell r="D475" t="str">
            <v>FTEs-Student-UNM-MIS</v>
          </cell>
          <cell r="E475">
            <v>3</v>
          </cell>
        </row>
        <row r="476">
          <cell r="C476" t="str">
            <v>01-10-1220-000-100-60005</v>
          </cell>
          <cell r="D476" t="str">
            <v>Salaries-Dir Mgr - Compliance</v>
          </cell>
          <cell r="E476">
            <v>73488.460000000006</v>
          </cell>
        </row>
        <row r="477">
          <cell r="C477" t="str">
            <v>01-10-1220-000-100-60013</v>
          </cell>
          <cell r="D477" t="str">
            <v>Salaries-Prof - Compliance</v>
          </cell>
          <cell r="E477">
            <v>6881.68</v>
          </cell>
        </row>
        <row r="478">
          <cell r="C478" t="str">
            <v>01-10-1220-000-100-60015</v>
          </cell>
          <cell r="D478" t="str">
            <v>Salaries-Technical - Compliance</v>
          </cell>
          <cell r="E478">
            <v>254058.06</v>
          </cell>
        </row>
        <row r="479">
          <cell r="C479" t="str">
            <v>01-10-1220-000-100-60018</v>
          </cell>
          <cell r="D479" t="str">
            <v>Salaries-Clerical - Compliance</v>
          </cell>
          <cell r="E479">
            <v>36457.440000000002</v>
          </cell>
        </row>
        <row r="480">
          <cell r="C480" t="str">
            <v>01-10-1220-000-100-63500</v>
          </cell>
          <cell r="D480" t="str">
            <v>Overtime-UNMMG-Compliance</v>
          </cell>
          <cell r="E480">
            <v>53.96</v>
          </cell>
        </row>
        <row r="481">
          <cell r="C481" t="str">
            <v>01-10-1220-000-100-64010</v>
          </cell>
          <cell r="D481" t="str">
            <v>Billed to UNM Salaries- Compliance</v>
          </cell>
          <cell r="E481">
            <v>-28733.24</v>
          </cell>
        </row>
        <row r="482">
          <cell r="C482" t="str">
            <v>01-10-1220-000-100-64050</v>
          </cell>
          <cell r="D482" t="str">
            <v>Emp Benefits-UNM - Compliance</v>
          </cell>
          <cell r="E482">
            <v>17177.939999999999</v>
          </cell>
        </row>
        <row r="483">
          <cell r="C483" t="str">
            <v>01-10-1220-000-100-64055</v>
          </cell>
          <cell r="D483" t="str">
            <v>Employee Benefits UNMMG - Compliance</v>
          </cell>
          <cell r="E483">
            <v>3031.66</v>
          </cell>
        </row>
        <row r="484">
          <cell r="C484" t="str">
            <v>01-10-1220-000-100-65005</v>
          </cell>
          <cell r="D484" t="str">
            <v>Emp Benefits-STD - Compliance</v>
          </cell>
          <cell r="E484">
            <v>1229.04</v>
          </cell>
        </row>
        <row r="485">
          <cell r="C485" t="str">
            <v>01-10-1220-000-100-67025</v>
          </cell>
          <cell r="D485" t="str">
            <v>ER 403(b) - Compliance</v>
          </cell>
          <cell r="E485">
            <v>12371.14</v>
          </cell>
        </row>
        <row r="486">
          <cell r="C486" t="str">
            <v>01-10-1220-000-100-67030</v>
          </cell>
          <cell r="D486" t="str">
            <v>ER Hlth Dental &amp; Vision - Compliance</v>
          </cell>
          <cell r="E486">
            <v>21468.86</v>
          </cell>
        </row>
        <row r="487">
          <cell r="C487" t="str">
            <v>01-10-1220-000-100-67050</v>
          </cell>
          <cell r="D487" t="str">
            <v>ER Life Ins - Compliance</v>
          </cell>
          <cell r="E487">
            <v>333.58</v>
          </cell>
        </row>
        <row r="488">
          <cell r="C488" t="str">
            <v>01-10-1220-000-100-67100</v>
          </cell>
          <cell r="D488" t="str">
            <v>ER Fica_Mcare - Compliance</v>
          </cell>
          <cell r="E488">
            <v>21897.62</v>
          </cell>
        </row>
        <row r="489">
          <cell r="C489" t="str">
            <v>01-10-1220-000-100-67110</v>
          </cell>
          <cell r="D489" t="str">
            <v>ER SUI - Compliance</v>
          </cell>
          <cell r="E489">
            <v>1895.66</v>
          </cell>
        </row>
        <row r="490">
          <cell r="C490" t="str">
            <v>01-10-1220-000-100-70025</v>
          </cell>
          <cell r="D490" t="str">
            <v>Books &amp; Publications - Compliance</v>
          </cell>
          <cell r="E490">
            <v>349.69839978198036</v>
          </cell>
        </row>
        <row r="491">
          <cell r="C491" t="str">
            <v>01-10-1220-000-100-70030</v>
          </cell>
          <cell r="D491" t="str">
            <v>Dues &amp; Memberships - Compliance</v>
          </cell>
          <cell r="E491">
            <v>1839.8</v>
          </cell>
        </row>
        <row r="492">
          <cell r="C492" t="str">
            <v>01-10-1220-000-100-70045</v>
          </cell>
          <cell r="D492" t="str">
            <v>Meetings &amp; Conferences - Compliance</v>
          </cell>
          <cell r="E492">
            <v>1011</v>
          </cell>
        </row>
        <row r="493">
          <cell r="C493" t="str">
            <v>01-10-1220-000-100-70100</v>
          </cell>
          <cell r="D493" t="str">
            <v>Office Supplies - Compliance</v>
          </cell>
          <cell r="E493">
            <v>1823.3883870967743</v>
          </cell>
        </row>
        <row r="494">
          <cell r="C494" t="str">
            <v>01-10-1220-000-100-70420</v>
          </cell>
          <cell r="D494" t="str">
            <v>Software Subscript &amp; Mntnce - Compliance</v>
          </cell>
          <cell r="E494">
            <v>2121.7224894152009</v>
          </cell>
        </row>
        <row r="495">
          <cell r="C495" t="str">
            <v>01-10-1220-000-100-72035</v>
          </cell>
          <cell r="D495" t="str">
            <v>Phone - Compliance</v>
          </cell>
          <cell r="E495">
            <v>3400.6375000000003</v>
          </cell>
        </row>
        <row r="496">
          <cell r="C496" t="str">
            <v>01-10-1220-000-100-98005</v>
          </cell>
          <cell r="D496" t="str">
            <v>FTEs-Dir Mgr-UNMMG-Compliance</v>
          </cell>
          <cell r="E496">
            <v>4</v>
          </cell>
        </row>
        <row r="497">
          <cell r="C497" t="str">
            <v>01-10-1220-000-100-98015</v>
          </cell>
          <cell r="D497" t="str">
            <v>FTEs-Technical-UNMMG-Compliance</v>
          </cell>
          <cell r="E497">
            <v>24</v>
          </cell>
        </row>
        <row r="498">
          <cell r="C498" t="str">
            <v>01-10-1220-000-100-98016</v>
          </cell>
          <cell r="D498" t="str">
            <v>FTEs-Technical-UNM-Compliance</v>
          </cell>
          <cell r="E498">
            <v>6</v>
          </cell>
        </row>
        <row r="499">
          <cell r="C499" t="str">
            <v>01-10-1220-000-100-98018</v>
          </cell>
          <cell r="D499" t="str">
            <v>FTEs-Clerical-UNMMG-Compliance</v>
          </cell>
          <cell r="E499">
            <v>6</v>
          </cell>
        </row>
        <row r="500">
          <cell r="C500" t="str">
            <v>01-10-1300-000-100-49506</v>
          </cell>
          <cell r="D500" t="str">
            <v>Central Admin Misc Income-QCPI</v>
          </cell>
          <cell r="E500">
            <v>-118720.34</v>
          </cell>
        </row>
        <row r="501">
          <cell r="C501" t="str">
            <v>01-10-1300-000-100-60005</v>
          </cell>
          <cell r="D501" t="str">
            <v>Salaries-Dir Mgr - QCIP</v>
          </cell>
          <cell r="E501">
            <v>248153.04</v>
          </cell>
        </row>
        <row r="502">
          <cell r="C502" t="str">
            <v>01-10-1300-000-100-60013</v>
          </cell>
          <cell r="D502" t="str">
            <v>Salaries-Prof - QCPI</v>
          </cell>
          <cell r="E502">
            <v>399088.04</v>
          </cell>
        </row>
        <row r="503">
          <cell r="C503" t="str">
            <v>01-10-1300-000-100-60015</v>
          </cell>
          <cell r="D503" t="str">
            <v>Salaries-Technical - QCPI</v>
          </cell>
          <cell r="E503">
            <v>80881.58</v>
          </cell>
        </row>
        <row r="504">
          <cell r="C504" t="str">
            <v>01-10-1300-000-100-60018</v>
          </cell>
          <cell r="D504" t="str">
            <v>Salaries-Clerical - QCPI</v>
          </cell>
          <cell r="E504">
            <v>116295.76</v>
          </cell>
        </row>
        <row r="505">
          <cell r="C505" t="str">
            <v>01-10-1300-000-100-63300</v>
          </cell>
          <cell r="D505" t="str">
            <v>Bonus Expense - QCPI</v>
          </cell>
          <cell r="E505">
            <v>1831.25</v>
          </cell>
        </row>
        <row r="506">
          <cell r="C506" t="str">
            <v>01-10-1300-000-100-63500</v>
          </cell>
          <cell r="D506" t="str">
            <v>Overtime-UNMMG-QCPI</v>
          </cell>
          <cell r="E506">
            <v>967.94</v>
          </cell>
        </row>
        <row r="507">
          <cell r="C507" t="str">
            <v>01-10-1300-000-100-63505</v>
          </cell>
          <cell r="D507" t="str">
            <v>Overtime-UNM-QCPI</v>
          </cell>
          <cell r="E507">
            <v>1644.34</v>
          </cell>
        </row>
        <row r="508">
          <cell r="C508" t="str">
            <v>01-10-1300-000-100-64000</v>
          </cell>
          <cell r="D508" t="str">
            <v>Bill UH-Salaries -QCPI</v>
          </cell>
          <cell r="E508">
            <v>-66588.12</v>
          </cell>
        </row>
        <row r="509">
          <cell r="C509" t="str">
            <v>01-10-1300-000-100-64050</v>
          </cell>
          <cell r="D509" t="str">
            <v>Emp Benefits-UNM -QCPI</v>
          </cell>
          <cell r="E509">
            <v>121086.66</v>
          </cell>
        </row>
        <row r="510">
          <cell r="C510" t="str">
            <v>01-10-1300-000-100-64055</v>
          </cell>
          <cell r="D510" t="str">
            <v>Employee Benefits UNMMG -QCPI</v>
          </cell>
          <cell r="E510">
            <v>-1039.58</v>
          </cell>
        </row>
        <row r="511">
          <cell r="C511" t="str">
            <v>01-10-1300-000-100-65005</v>
          </cell>
          <cell r="D511" t="str">
            <v>Emp Benefits-STD -QCPI</v>
          </cell>
          <cell r="E511">
            <v>951.52</v>
          </cell>
        </row>
        <row r="512">
          <cell r="C512" t="str">
            <v>01-10-1300-000-100-67025</v>
          </cell>
          <cell r="D512" t="str">
            <v>ER 403(b) - QCPI</v>
          </cell>
          <cell r="E512">
            <v>32884.04</v>
          </cell>
        </row>
        <row r="513">
          <cell r="C513" t="str">
            <v>01-10-1300-000-100-67030</v>
          </cell>
          <cell r="D513" t="str">
            <v>ER Hlth Dental &amp; Vision -QCPI</v>
          </cell>
          <cell r="E513">
            <v>31097.84</v>
          </cell>
        </row>
        <row r="514">
          <cell r="C514" t="str">
            <v>01-10-1300-000-100-67050</v>
          </cell>
          <cell r="D514" t="str">
            <v>ER Life Ins - QCPI</v>
          </cell>
          <cell r="E514">
            <v>685.64</v>
          </cell>
        </row>
        <row r="515">
          <cell r="C515" t="str">
            <v>01-10-1300-000-100-67100</v>
          </cell>
          <cell r="D515" t="str">
            <v>ER Fica_Mcare -QCPI</v>
          </cell>
          <cell r="E515">
            <v>33226.18</v>
          </cell>
        </row>
        <row r="516">
          <cell r="C516" t="str">
            <v>01-10-1300-000-100-67110</v>
          </cell>
          <cell r="D516" t="str">
            <v>ER SUI - QCPI</v>
          </cell>
          <cell r="E516">
            <v>3737.04</v>
          </cell>
        </row>
        <row r="517">
          <cell r="C517" t="str">
            <v>01-10-1300-000-100-70025</v>
          </cell>
          <cell r="D517" t="str">
            <v>Books &amp; Publications - QCPI</v>
          </cell>
          <cell r="E517">
            <v>7544.5203376233558</v>
          </cell>
        </row>
        <row r="518">
          <cell r="C518" t="str">
            <v>01-10-1300-000-100-70028</v>
          </cell>
          <cell r="D518" t="str">
            <v>Copier - QCPI</v>
          </cell>
          <cell r="E518">
            <v>12279.14</v>
          </cell>
        </row>
        <row r="519">
          <cell r="C519" t="str">
            <v>01-10-1300-000-100-70030</v>
          </cell>
          <cell r="D519" t="str">
            <v>Dues &amp; Memberships -QCPI</v>
          </cell>
          <cell r="E519">
            <v>66400</v>
          </cell>
        </row>
        <row r="520">
          <cell r="C520" t="str">
            <v>01-10-1300-000-100-70040</v>
          </cell>
          <cell r="D520" t="str">
            <v>Materials &amp; Services - QCPI</v>
          </cell>
          <cell r="E520">
            <v>1513.0078571428571</v>
          </cell>
        </row>
        <row r="521">
          <cell r="C521" t="str">
            <v>01-10-1300-000-100-70055</v>
          </cell>
          <cell r="D521" t="str">
            <v>Postage &amp; Shipping -QCPI</v>
          </cell>
          <cell r="E521">
            <v>1713.78</v>
          </cell>
        </row>
        <row r="522">
          <cell r="C522" t="str">
            <v>01-10-1300-000-100-70075</v>
          </cell>
          <cell r="D522" t="str">
            <v>Staff Dev - QCPI</v>
          </cell>
          <cell r="E522">
            <v>2074.2875554919092</v>
          </cell>
        </row>
        <row r="523">
          <cell r="C523" t="str">
            <v>01-10-1300-000-100-70090</v>
          </cell>
          <cell r="D523" t="str">
            <v>Travel - QCPI</v>
          </cell>
          <cell r="E523">
            <v>7472.5</v>
          </cell>
        </row>
        <row r="524">
          <cell r="C524" t="str">
            <v>01-10-1300-000-100-70095</v>
          </cell>
          <cell r="D524" t="str">
            <v>Mileage -QCPI</v>
          </cell>
          <cell r="E524">
            <v>5566.3135135135135</v>
          </cell>
        </row>
        <row r="525">
          <cell r="C525" t="str">
            <v>01-10-1300-000-100-70100</v>
          </cell>
          <cell r="D525" t="str">
            <v>Office Supplies -QCPI</v>
          </cell>
          <cell r="E525">
            <v>6252.2477419354846</v>
          </cell>
        </row>
        <row r="526">
          <cell r="C526" t="str">
            <v>01-10-1300-000-100-70420</v>
          </cell>
          <cell r="D526" t="str">
            <v>Software Subscript &amp; Mntnce -QCPI</v>
          </cell>
          <cell r="E526">
            <v>50878.216357965845</v>
          </cell>
        </row>
        <row r="527">
          <cell r="C527" t="str">
            <v>01-10-1300-000-100-70550</v>
          </cell>
          <cell r="D527" t="str">
            <v>Furn Fix &amp; Remodel - QCPI</v>
          </cell>
          <cell r="E527">
            <v>800</v>
          </cell>
        </row>
        <row r="528">
          <cell r="C528" t="str">
            <v>01-10-1300-000-100-72030</v>
          </cell>
          <cell r="D528" t="str">
            <v>Recycling -QCPI</v>
          </cell>
          <cell r="E528">
            <v>951.66</v>
          </cell>
        </row>
        <row r="529">
          <cell r="C529" t="str">
            <v>01-10-1300-000-100-72035</v>
          </cell>
          <cell r="D529" t="str">
            <v>Phone -QCPI</v>
          </cell>
          <cell r="E529">
            <v>8520.2696428571417</v>
          </cell>
        </row>
        <row r="530">
          <cell r="C530" t="str">
            <v>01-10-1300-000-100-72040</v>
          </cell>
          <cell r="D530" t="str">
            <v>Water - QCPI</v>
          </cell>
          <cell r="E530">
            <v>359.18</v>
          </cell>
        </row>
        <row r="531">
          <cell r="C531" t="str">
            <v>01-10-1300-000-100-98005</v>
          </cell>
          <cell r="D531" t="str">
            <v>FTEs-Dir Mgr-UNMMG-QCPI</v>
          </cell>
          <cell r="E531">
            <v>12</v>
          </cell>
        </row>
        <row r="532">
          <cell r="C532" t="str">
            <v>01-10-1300-000-100-98006</v>
          </cell>
          <cell r="D532" t="str">
            <v>FTEs-Dir/Mgr-UNM-QCPI</v>
          </cell>
          <cell r="E532">
            <v>18</v>
          </cell>
        </row>
        <row r="533">
          <cell r="C533" t="str">
            <v>01-10-1300-000-100-98013</v>
          </cell>
          <cell r="D533" t="str">
            <v>FTEs-Prof-UNMMG-QCPI</v>
          </cell>
          <cell r="E533">
            <v>14.25</v>
          </cell>
        </row>
        <row r="534">
          <cell r="C534" t="str">
            <v>01-10-1300-000-100-98014</v>
          </cell>
          <cell r="D534" t="str">
            <v>FTEs-Prof-UNM-QCPI</v>
          </cell>
          <cell r="E534">
            <v>12</v>
          </cell>
        </row>
        <row r="535">
          <cell r="C535" t="str">
            <v>01-10-1300-000-100-98015</v>
          </cell>
          <cell r="D535" t="str">
            <v>FTEs-Technical-UNMMG-QCPI</v>
          </cell>
          <cell r="E535">
            <v>9</v>
          </cell>
        </row>
        <row r="536">
          <cell r="C536" t="str">
            <v>01-10-1300-000-100-98018</v>
          </cell>
          <cell r="D536" t="str">
            <v>FTEs-Clerical-UNMMG-QCPI</v>
          </cell>
          <cell r="E536">
            <v>6</v>
          </cell>
        </row>
        <row r="537">
          <cell r="C537" t="str">
            <v>01-10-1300-000-100-98019</v>
          </cell>
          <cell r="D537" t="str">
            <v>FTEs-Clerical-UNM-QCPI</v>
          </cell>
          <cell r="E537">
            <v>12</v>
          </cell>
        </row>
        <row r="538">
          <cell r="C538" t="str">
            <v>01-10-1320-000-100-60005</v>
          </cell>
          <cell r="D538" t="str">
            <v>Salaries-Dir Mgr - OCCS</v>
          </cell>
          <cell r="E538">
            <v>170713.9</v>
          </cell>
        </row>
        <row r="539">
          <cell r="C539" t="str">
            <v>01-10-1320-000-100-60013</v>
          </cell>
          <cell r="D539" t="str">
            <v>Salaries-Prof - OCCS</v>
          </cell>
          <cell r="E539">
            <v>431173.04</v>
          </cell>
        </row>
        <row r="540">
          <cell r="C540" t="str">
            <v>01-10-1320-000-100-60015</v>
          </cell>
          <cell r="D540" t="str">
            <v>Salaries-Technical - OCCS</v>
          </cell>
          <cell r="E540">
            <v>14381.2</v>
          </cell>
        </row>
        <row r="541">
          <cell r="C541" t="str">
            <v>01-10-1320-000-100-60018</v>
          </cell>
          <cell r="D541" t="str">
            <v>Salaries-Clerical - OCCS</v>
          </cell>
          <cell r="E541">
            <v>94498.52</v>
          </cell>
        </row>
        <row r="542">
          <cell r="C542" t="str">
            <v>01-10-1320-000-100-60060</v>
          </cell>
          <cell r="D542" t="str">
            <v>Salaries-Temp - OCCS</v>
          </cell>
          <cell r="E542">
            <v>-1743.3</v>
          </cell>
        </row>
        <row r="543">
          <cell r="C543" t="str">
            <v>01-10-1320-000-100-60070</v>
          </cell>
          <cell r="D543" t="str">
            <v>Contract Labor - OCCS</v>
          </cell>
          <cell r="E543">
            <v>167166.57999999999</v>
          </cell>
        </row>
        <row r="544">
          <cell r="C544" t="str">
            <v>01-10-1320-000-100-63310</v>
          </cell>
          <cell r="D544" t="str">
            <v>Severence Expense - OCCS</v>
          </cell>
          <cell r="E544">
            <v>7718.56</v>
          </cell>
        </row>
        <row r="545">
          <cell r="C545" t="str">
            <v>01-10-1320-000-100-63500</v>
          </cell>
          <cell r="D545" t="str">
            <v>Overtime-UNMMG-OCCS</v>
          </cell>
          <cell r="E545">
            <v>-239.98</v>
          </cell>
        </row>
        <row r="546">
          <cell r="C546" t="str">
            <v>01-10-1320-000-100-63505</v>
          </cell>
          <cell r="D546" t="str">
            <v>Overtime-UNM-OCCS</v>
          </cell>
          <cell r="E546">
            <v>858.06</v>
          </cell>
        </row>
        <row r="547">
          <cell r="C547" t="str">
            <v>01-10-1320-000-100-64002</v>
          </cell>
          <cell r="D547" t="str">
            <v>Billed from UH - Salaries - OCCS</v>
          </cell>
          <cell r="E547">
            <v>79211.399999999994</v>
          </cell>
        </row>
        <row r="548">
          <cell r="C548" t="str">
            <v>01-10-1320-000-100-64050</v>
          </cell>
          <cell r="D548" t="str">
            <v>Emp Benefits-UNM - OCCS</v>
          </cell>
          <cell r="E548">
            <v>54906.8</v>
          </cell>
        </row>
        <row r="549">
          <cell r="C549" t="str">
            <v>01-10-1320-000-100-64055</v>
          </cell>
          <cell r="D549" t="str">
            <v>Employee Benefits UNMMG - OCCS</v>
          </cell>
          <cell r="E549">
            <v>1298.82</v>
          </cell>
        </row>
        <row r="550">
          <cell r="C550" t="str">
            <v>01-10-1320-000-100-65005</v>
          </cell>
          <cell r="D550" t="str">
            <v>Emp Benefits-STD - OCCS</v>
          </cell>
          <cell r="E550">
            <v>1830.9</v>
          </cell>
        </row>
        <row r="551">
          <cell r="C551" t="str">
            <v>01-10-1320-000-100-65008</v>
          </cell>
          <cell r="D551" t="str">
            <v>Emp Benefits-Tuition - OCCS</v>
          </cell>
          <cell r="E551">
            <v>1595.34</v>
          </cell>
        </row>
        <row r="552">
          <cell r="C552" t="str">
            <v>01-10-1320-000-100-65010</v>
          </cell>
          <cell r="D552" t="str">
            <v>Emp Benefits-Misc EE Benefits- OCCS</v>
          </cell>
          <cell r="E552">
            <v>270</v>
          </cell>
        </row>
        <row r="553">
          <cell r="C553" t="str">
            <v>01-10-1320-000-100-67025</v>
          </cell>
          <cell r="D553" t="str">
            <v>ER 403(b) - OCCS</v>
          </cell>
          <cell r="E553">
            <v>31631.88</v>
          </cell>
        </row>
        <row r="554">
          <cell r="C554" t="str">
            <v>01-10-1320-000-100-67030</v>
          </cell>
          <cell r="D554" t="str">
            <v>ER Hlth Dental &amp; Vision - OCCS</v>
          </cell>
          <cell r="E554">
            <v>36119.86</v>
          </cell>
        </row>
        <row r="555">
          <cell r="C555" t="str">
            <v>01-10-1320-000-100-67050</v>
          </cell>
          <cell r="D555" t="str">
            <v>ER Life Ins - OCCS</v>
          </cell>
          <cell r="E555">
            <v>1019.4</v>
          </cell>
        </row>
        <row r="556">
          <cell r="C556" t="str">
            <v>01-10-1320-000-100-67100</v>
          </cell>
          <cell r="D556" t="str">
            <v>ER Fica_Mcare - OCCS</v>
          </cell>
          <cell r="E556">
            <v>37668.959999999999</v>
          </cell>
        </row>
        <row r="557">
          <cell r="C557" t="str">
            <v>01-10-1320-000-100-67110</v>
          </cell>
          <cell r="D557" t="str">
            <v>ER SUI - OCCS</v>
          </cell>
          <cell r="E557">
            <v>4160.04</v>
          </cell>
        </row>
        <row r="558">
          <cell r="C558" t="str">
            <v>01-10-1320-000-100-70025</v>
          </cell>
          <cell r="D558" t="str">
            <v>Books &amp; Publications - OCCS</v>
          </cell>
          <cell r="E558">
            <v>550.61855393107044</v>
          </cell>
        </row>
        <row r="559">
          <cell r="C559" t="str">
            <v>01-10-1320-000-100-70028</v>
          </cell>
          <cell r="D559" t="str">
            <v>Copier - OCCS</v>
          </cell>
          <cell r="E559">
            <v>9256.58</v>
          </cell>
        </row>
        <row r="560">
          <cell r="C560" t="str">
            <v>01-10-1320-000-100-70035</v>
          </cell>
          <cell r="D560" t="str">
            <v>Insurance Commercial - OCCS</v>
          </cell>
          <cell r="E560">
            <v>2301.4116303488372</v>
          </cell>
        </row>
        <row r="561">
          <cell r="C561" t="str">
            <v>01-10-1320-000-100-70040</v>
          </cell>
          <cell r="D561" t="str">
            <v>Materials &amp; Services - OCCS</v>
          </cell>
          <cell r="E561">
            <v>1513.0078571428571</v>
          </cell>
        </row>
        <row r="562">
          <cell r="C562" t="str">
            <v>01-10-1320-000-100-70045</v>
          </cell>
          <cell r="D562" t="str">
            <v>Meetings &amp; Conferences - OCCS</v>
          </cell>
          <cell r="E562">
            <v>1257.32</v>
          </cell>
        </row>
        <row r="563">
          <cell r="C563" t="str">
            <v>01-10-1320-000-100-70055</v>
          </cell>
          <cell r="D563" t="str">
            <v>Postage &amp; Shipping - OCCS</v>
          </cell>
          <cell r="E563">
            <v>3958.56</v>
          </cell>
        </row>
        <row r="564">
          <cell r="C564" t="str">
            <v>01-10-1320-000-100-70075</v>
          </cell>
          <cell r="D564" t="str">
            <v>Staff Dev - OCCS</v>
          </cell>
          <cell r="E564">
            <v>2885.5792639266792</v>
          </cell>
        </row>
        <row r="565">
          <cell r="C565" t="str">
            <v>01-10-1320-000-100-70090</v>
          </cell>
          <cell r="D565" t="str">
            <v>Travel - OCCS</v>
          </cell>
          <cell r="E565">
            <v>31160.5</v>
          </cell>
        </row>
        <row r="566">
          <cell r="C566" t="str">
            <v>01-10-1320-000-100-70095</v>
          </cell>
          <cell r="D566" t="str">
            <v>Mileage - OCCS</v>
          </cell>
          <cell r="E566">
            <v>1098.5513513513515</v>
          </cell>
        </row>
        <row r="567">
          <cell r="C567" t="str">
            <v>01-10-1320-000-100-70100</v>
          </cell>
          <cell r="D567" t="str">
            <v>Office Supplies - OCCS</v>
          </cell>
          <cell r="E567">
            <v>5439.2516129032265</v>
          </cell>
        </row>
        <row r="568">
          <cell r="C568" t="str">
            <v>01-10-1320-000-100-70550</v>
          </cell>
          <cell r="D568" t="str">
            <v>Furn Fix &amp; Remodel - OCCS</v>
          </cell>
          <cell r="E568">
            <v>70</v>
          </cell>
        </row>
        <row r="569">
          <cell r="C569" t="str">
            <v>01-10-1320-000-100-71020</v>
          </cell>
          <cell r="D569" t="str">
            <v>Storage - OCCS</v>
          </cell>
          <cell r="E569">
            <v>1555.6095395904842</v>
          </cell>
        </row>
        <row r="570">
          <cell r="C570" t="str">
            <v>01-10-1320-000-100-72030</v>
          </cell>
          <cell r="D570" t="str">
            <v>Recycling - OCCS</v>
          </cell>
          <cell r="E570">
            <v>717.48</v>
          </cell>
        </row>
        <row r="571">
          <cell r="C571" t="str">
            <v>01-10-1320-000-100-72035</v>
          </cell>
          <cell r="D571" t="str">
            <v>Phone - OCCS</v>
          </cell>
          <cell r="E571">
            <v>9397.3053571428591</v>
          </cell>
        </row>
        <row r="572">
          <cell r="C572" t="str">
            <v>01-10-1320-000-100-72040</v>
          </cell>
          <cell r="D572" t="str">
            <v>Water - OCCS</v>
          </cell>
          <cell r="E572">
            <v>270.8</v>
          </cell>
        </row>
        <row r="573">
          <cell r="C573" t="str">
            <v>01-10-1320-000-100-98005</v>
          </cell>
          <cell r="D573" t="str">
            <v>FTEs-Dir Mgr-UNMMG-OCCS</v>
          </cell>
          <cell r="E573">
            <v>5</v>
          </cell>
        </row>
        <row r="574">
          <cell r="C574" t="str">
            <v>01-10-1320-000-100-98006</v>
          </cell>
          <cell r="D574" t="str">
            <v>FTEs-Dir/Mgr-UNM-OCCS</v>
          </cell>
          <cell r="E574">
            <v>3</v>
          </cell>
        </row>
        <row r="575">
          <cell r="C575" t="str">
            <v>01-10-1320-000-100-98013</v>
          </cell>
          <cell r="D575" t="str">
            <v>FTEs-Prof-UNMMG-OCCS</v>
          </cell>
          <cell r="E575">
            <v>20.399999999999999</v>
          </cell>
        </row>
        <row r="576">
          <cell r="C576" t="str">
            <v>01-10-1320-000-100-98014</v>
          </cell>
          <cell r="D576" t="str">
            <v>FTEs-Prof-UNM-OCCS</v>
          </cell>
          <cell r="E576">
            <v>5</v>
          </cell>
        </row>
        <row r="577">
          <cell r="C577" t="str">
            <v>01-10-1320-000-100-98018</v>
          </cell>
          <cell r="D577" t="str">
            <v>FTEs-Clerical-UNMMG-OCCS</v>
          </cell>
          <cell r="E577">
            <v>10.6</v>
          </cell>
        </row>
        <row r="578">
          <cell r="C578" t="str">
            <v>01-10-1320-000-100-98019</v>
          </cell>
          <cell r="D578" t="str">
            <v>FTEs-Clerical-UNM-OCCS</v>
          </cell>
          <cell r="E578">
            <v>6</v>
          </cell>
        </row>
        <row r="579">
          <cell r="C579" t="str">
            <v>01-10-1320-000-100-98060</v>
          </cell>
          <cell r="D579" t="str">
            <v>FTEs-Temp-UNMMG-OCCS</v>
          </cell>
          <cell r="E579">
            <v>5</v>
          </cell>
        </row>
        <row r="580">
          <cell r="C580" t="str">
            <v>01-10-1400-000-100-60005</v>
          </cell>
          <cell r="D580" t="str">
            <v>Salaries-Dir Mgr - Sandoval Cty</v>
          </cell>
          <cell r="E580">
            <v>222235.37</v>
          </cell>
        </row>
        <row r="581">
          <cell r="C581" t="str">
            <v>01-10-1400-000-100-60015</v>
          </cell>
          <cell r="D581" t="str">
            <v>Salaries-Technical - Sandoval Cty</v>
          </cell>
          <cell r="E581">
            <v>9209.69</v>
          </cell>
        </row>
        <row r="582">
          <cell r="C582" t="str">
            <v>01-10-1400-000-100-60018</v>
          </cell>
          <cell r="D582" t="str">
            <v>Salaries-Clerical - Sandoval Cty</v>
          </cell>
          <cell r="E582">
            <v>22987.16</v>
          </cell>
        </row>
        <row r="583">
          <cell r="C583" t="str">
            <v>01-10-1400-000-100-60080</v>
          </cell>
          <cell r="D583" t="str">
            <v>Medical Director Fees -Sandoval</v>
          </cell>
          <cell r="E583">
            <v>108876.86</v>
          </cell>
        </row>
        <row r="584">
          <cell r="C584" t="str">
            <v>01-10-1400-000-100-60085</v>
          </cell>
          <cell r="D584" t="str">
            <v>Salaries-Faculty Providers-SRMC</v>
          </cell>
          <cell r="E584">
            <v>100310.21</v>
          </cell>
        </row>
        <row r="585">
          <cell r="C585" t="str">
            <v>01-10-1400-000-100-63300</v>
          </cell>
          <cell r="D585" t="str">
            <v>Bonus Expense - Sandoval Cty</v>
          </cell>
          <cell r="E585">
            <v>50000</v>
          </cell>
        </row>
        <row r="586">
          <cell r="C586" t="str">
            <v>01-10-1400-000-100-63500</v>
          </cell>
          <cell r="D586" t="str">
            <v>Overtime-UNMMG-Sandoval Cty</v>
          </cell>
          <cell r="E586">
            <v>26.45</v>
          </cell>
        </row>
        <row r="587">
          <cell r="C587" t="str">
            <v>01-10-1400-000-100-64015</v>
          </cell>
          <cell r="D587" t="str">
            <v>Billed to SC Salaries-Sandoval Cty</v>
          </cell>
          <cell r="E587">
            <v>-501221.6</v>
          </cell>
        </row>
        <row r="588">
          <cell r="C588" t="str">
            <v>01-10-1400-000-100-64050</v>
          </cell>
          <cell r="D588" t="str">
            <v>Emp Benefits-UNM - Sandoval Cty</v>
          </cell>
          <cell r="E588">
            <v>42370.18</v>
          </cell>
        </row>
        <row r="589">
          <cell r="C589" t="str">
            <v>01-10-1400-000-100-65005</v>
          </cell>
          <cell r="D589" t="str">
            <v>Emp Benefits-STD - Sandoval Cty</v>
          </cell>
          <cell r="E589">
            <v>663.08</v>
          </cell>
        </row>
        <row r="590">
          <cell r="C590" t="str">
            <v>01-10-1400-000-100-65012</v>
          </cell>
          <cell r="D590" t="str">
            <v>Emp Benefits-FSA - Sandoval Cty</v>
          </cell>
          <cell r="E590">
            <v>654.55999999999995</v>
          </cell>
        </row>
        <row r="591">
          <cell r="C591" t="str">
            <v>01-10-1400-000-100-67025</v>
          </cell>
          <cell r="D591" t="str">
            <v>ER 403(b) - Sandoval Cty</v>
          </cell>
          <cell r="E591">
            <v>9898.6200000000008</v>
          </cell>
        </row>
        <row r="592">
          <cell r="C592" t="str">
            <v>01-10-1400-000-100-67030</v>
          </cell>
          <cell r="D592" t="str">
            <v>ER Hlth Dental &amp; Vision - Sandoval Cty</v>
          </cell>
          <cell r="E592">
            <v>12394.49</v>
          </cell>
        </row>
        <row r="593">
          <cell r="C593" t="str">
            <v>01-10-1400-000-100-67050</v>
          </cell>
          <cell r="D593" t="str">
            <v>ER Life Ins - Sandoval Cty</v>
          </cell>
          <cell r="E593">
            <v>221.19</v>
          </cell>
        </row>
        <row r="594">
          <cell r="C594" t="str">
            <v>01-10-1400-000-100-67100</v>
          </cell>
          <cell r="D594" t="str">
            <v>ER Fica_Mcare - Sandoval Cty</v>
          </cell>
          <cell r="E594">
            <v>13532.37</v>
          </cell>
        </row>
        <row r="595">
          <cell r="C595" t="str">
            <v>01-10-1400-000-100-67110</v>
          </cell>
          <cell r="D595" t="str">
            <v>ER SUI - Sandoval Cty</v>
          </cell>
          <cell r="E595">
            <v>1546.23</v>
          </cell>
        </row>
        <row r="596">
          <cell r="C596" t="str">
            <v>01-10-1400-000-100-75001</v>
          </cell>
          <cell r="D596" t="str">
            <v>Billed to UNM for Account-Sandoval Cty</v>
          </cell>
          <cell r="E596">
            <v>-93704.86</v>
          </cell>
        </row>
        <row r="597">
          <cell r="C597" t="str">
            <v>01-10-1950-000-100-60080</v>
          </cell>
          <cell r="D597" t="str">
            <v>Medical Director Fees-Health System</v>
          </cell>
          <cell r="E597">
            <v>50228.85</v>
          </cell>
        </row>
        <row r="598">
          <cell r="C598" t="str">
            <v>01-10-1950-000-100-64050</v>
          </cell>
          <cell r="D598" t="str">
            <v>Emp Benefits-UNM - Health System</v>
          </cell>
          <cell r="E598">
            <v>11056.34</v>
          </cell>
        </row>
        <row r="599">
          <cell r="C599" t="str">
            <v>01-10-1950-000-100-70038</v>
          </cell>
          <cell r="D599" t="str">
            <v>Legal - Health System</v>
          </cell>
          <cell r="E599">
            <v>150000</v>
          </cell>
        </row>
      </sheetData>
      <sheetData sheetId="48">
        <row r="9">
          <cell r="B9" t="str">
            <v>01-10-1000-000-000-01000</v>
          </cell>
          <cell r="C9" t="str">
            <v>Cash-WF #6516343602 -Mgmt Co</v>
          </cell>
          <cell r="D9">
            <v>5964769.1699999999</v>
          </cell>
          <cell r="E9">
            <v>225694232.83000001</v>
          </cell>
          <cell r="F9">
            <v>230837753.75</v>
          </cell>
          <cell r="G9">
            <v>-5143520.92</v>
          </cell>
          <cell r="H9">
            <v>821248.25</v>
          </cell>
        </row>
        <row r="10">
          <cell r="B10" t="str">
            <v>01-10-1000-000-000-01002</v>
          </cell>
          <cell r="C10" t="str">
            <v>Cash Path-Billing WFB3013219195</v>
          </cell>
          <cell r="D10">
            <v>24421.42</v>
          </cell>
          <cell r="E10">
            <v>561308.46</v>
          </cell>
          <cell r="F10">
            <v>516571.02</v>
          </cell>
          <cell r="G10">
            <v>44737.440000000002</v>
          </cell>
          <cell r="H10">
            <v>69158.86</v>
          </cell>
        </row>
        <row r="11">
          <cell r="B11" t="str">
            <v>01-10-1000-000-000-01003</v>
          </cell>
          <cell r="C11" t="str">
            <v>Cash UNM CC WFB 9790385661</v>
          </cell>
          <cell r="D11">
            <v>0</v>
          </cell>
          <cell r="E11">
            <v>3508631.67</v>
          </cell>
          <cell r="F11">
            <v>3503914.55</v>
          </cell>
          <cell r="G11">
            <v>4717.12</v>
          </cell>
          <cell r="H11">
            <v>4717.12</v>
          </cell>
        </row>
        <row r="12">
          <cell r="B12" t="str">
            <v>01-10-1000-000-000-01010</v>
          </cell>
          <cell r="C12" t="str">
            <v>Cash Reserves</v>
          </cell>
          <cell r="D12">
            <v>0</v>
          </cell>
          <cell r="E12">
            <v>6816659</v>
          </cell>
          <cell r="F12">
            <v>6816659</v>
          </cell>
          <cell r="G12">
            <v>0</v>
          </cell>
          <cell r="H12">
            <v>0</v>
          </cell>
        </row>
        <row r="13">
          <cell r="B13" t="str">
            <v>01-10-1000-000-000-01025</v>
          </cell>
          <cell r="C13" t="str">
            <v>Cash-Savings-Mgmt Co</v>
          </cell>
          <cell r="D13">
            <v>10523639.18</v>
          </cell>
          <cell r="E13">
            <v>890506.47</v>
          </cell>
          <cell r="F13">
            <v>10893527.130000001</v>
          </cell>
          <cell r="G13">
            <v>-10003020.66</v>
          </cell>
          <cell r="H13">
            <v>520618.52</v>
          </cell>
        </row>
        <row r="14">
          <cell r="B14" t="str">
            <v>01-10-1000-000-000-01030</v>
          </cell>
          <cell r="C14" t="str">
            <v>Transfer Account-Mgmt Co</v>
          </cell>
          <cell r="D14">
            <v>-21072.67</v>
          </cell>
          <cell r="E14">
            <v>156333270.05000001</v>
          </cell>
          <cell r="F14">
            <v>156353570.63</v>
          </cell>
          <cell r="G14">
            <v>-20300.580000000002</v>
          </cell>
          <cell r="H14">
            <v>-41373.25</v>
          </cell>
        </row>
        <row r="15">
          <cell r="B15" t="str">
            <v>01-10-1000-000-000-01040</v>
          </cell>
          <cell r="C15" t="str">
            <v>Petty Cash-Clinics-Mgmt Co</v>
          </cell>
          <cell r="D15">
            <v>-375</v>
          </cell>
          <cell r="E15">
            <v>375.02</v>
          </cell>
          <cell r="F15">
            <v>0.02</v>
          </cell>
          <cell r="G15">
            <v>375</v>
          </cell>
          <cell r="H15">
            <v>0</v>
          </cell>
        </row>
        <row r="16">
          <cell r="B16" t="str">
            <v>01-10-1000-000-000-01050</v>
          </cell>
          <cell r="C16" t="str">
            <v>Petty Cash-Finance-Mgmt Co</v>
          </cell>
          <cell r="D16">
            <v>500</v>
          </cell>
          <cell r="E16">
            <v>6120.56</v>
          </cell>
          <cell r="F16">
            <v>5520.56</v>
          </cell>
          <cell r="G16">
            <v>600</v>
          </cell>
          <cell r="H16">
            <v>1100</v>
          </cell>
        </row>
        <row r="17">
          <cell r="B17" t="str">
            <v>01-10-1000-000-000-01100</v>
          </cell>
          <cell r="C17" t="str">
            <v>Cash</v>
          </cell>
          <cell r="D17">
            <v>0.13</v>
          </cell>
          <cell r="E17">
            <v>22579.31</v>
          </cell>
          <cell r="F17">
            <v>22579.439999999999</v>
          </cell>
          <cell r="G17">
            <v>-0.13</v>
          </cell>
          <cell r="H17">
            <v>0</v>
          </cell>
        </row>
        <row r="18">
          <cell r="B18" t="str">
            <v>01-10-1000-000-000-01210</v>
          </cell>
          <cell r="C18" t="str">
            <v>Investment Allocation SB1-Mgmt Co</v>
          </cell>
          <cell r="D18">
            <v>0</v>
          </cell>
          <cell r="E18">
            <v>11885316.41</v>
          </cell>
          <cell r="F18">
            <v>13080057.699999999</v>
          </cell>
          <cell r="G18">
            <v>-1194741.29</v>
          </cell>
          <cell r="H18">
            <v>-1194741.29</v>
          </cell>
        </row>
        <row r="19">
          <cell r="B19" t="str">
            <v>01-10-1000-000-000-01211</v>
          </cell>
          <cell r="C19" t="str">
            <v>Quality Reserve-Cash-Mgmt Co</v>
          </cell>
          <cell r="D19">
            <v>1200000</v>
          </cell>
          <cell r="E19">
            <v>700000</v>
          </cell>
          <cell r="F19">
            <v>1900000</v>
          </cell>
          <cell r="G19">
            <v>-1200000</v>
          </cell>
          <cell r="H19">
            <v>0</v>
          </cell>
        </row>
        <row r="20">
          <cell r="B20" t="str">
            <v>01-10-1000-000-000-01213</v>
          </cell>
          <cell r="C20" t="str">
            <v>Investment Reserve-Cash-Mgmt Co</v>
          </cell>
          <cell r="D20">
            <v>7707771</v>
          </cell>
          <cell r="E20">
            <v>9358741</v>
          </cell>
          <cell r="F20">
            <v>17066512</v>
          </cell>
          <cell r="G20">
            <v>-7707771</v>
          </cell>
          <cell r="H20">
            <v>0</v>
          </cell>
        </row>
        <row r="21">
          <cell r="B21" t="str">
            <v>01-10-1000-000-000-01215</v>
          </cell>
          <cell r="C21" t="str">
            <v>Pending Dept Reserve-Cash-Mgmt Co</v>
          </cell>
          <cell r="D21">
            <v>3025416</v>
          </cell>
          <cell r="E21">
            <v>19447566</v>
          </cell>
          <cell r="F21">
            <v>15899199</v>
          </cell>
          <cell r="G21">
            <v>3548367</v>
          </cell>
          <cell r="H21">
            <v>6573783</v>
          </cell>
        </row>
        <row r="22">
          <cell r="B22" t="str">
            <v>01-10-1000-000-000-01216</v>
          </cell>
          <cell r="C22" t="str">
            <v>Dept Reserve-Cash-Mgmt Co</v>
          </cell>
          <cell r="D22">
            <v>0</v>
          </cell>
          <cell r="E22">
            <v>11094828.810000001</v>
          </cell>
          <cell r="F22">
            <v>69412.81</v>
          </cell>
          <cell r="G22">
            <v>11025416</v>
          </cell>
          <cell r="H22">
            <v>11025416</v>
          </cell>
        </row>
        <row r="23">
          <cell r="B23" t="str">
            <v>01-10-1000-000-000-01217</v>
          </cell>
          <cell r="C23" t="str">
            <v>Recission Reserve-Cash-Mgmt Co</v>
          </cell>
          <cell r="D23">
            <v>0</v>
          </cell>
          <cell r="E23">
            <v>2652297.46</v>
          </cell>
          <cell r="F23">
            <v>177713.36</v>
          </cell>
          <cell r="G23">
            <v>2474584.1</v>
          </cell>
          <cell r="H23">
            <v>2474584.1</v>
          </cell>
        </row>
        <row r="24">
          <cell r="B24" t="str">
            <v>01-10-1000-000-000-01220</v>
          </cell>
          <cell r="C24" t="str">
            <v>Pending Capital Reserve - Mgmt Co</v>
          </cell>
          <cell r="D24">
            <v>694635</v>
          </cell>
          <cell r="E24">
            <v>945202.7</v>
          </cell>
          <cell r="F24">
            <v>1558390.18</v>
          </cell>
          <cell r="G24">
            <v>-613187.48</v>
          </cell>
          <cell r="H24">
            <v>81447.520000000004</v>
          </cell>
        </row>
        <row r="25">
          <cell r="B25" t="str">
            <v>01-10-1000-000-000-01221</v>
          </cell>
          <cell r="C25" t="str">
            <v>Capital Reserve - SB-1</v>
          </cell>
          <cell r="D25">
            <v>0</v>
          </cell>
          <cell r="E25">
            <v>1100125</v>
          </cell>
          <cell r="F25">
            <v>0</v>
          </cell>
          <cell r="G25">
            <v>1100125</v>
          </cell>
          <cell r="H25">
            <v>1100125</v>
          </cell>
        </row>
        <row r="26">
          <cell r="B26" t="str">
            <v>01-10-1000-000-000-01222</v>
          </cell>
          <cell r="C26" t="str">
            <v>Board Appropriation Reserves - SB-1</v>
          </cell>
          <cell r="D26">
            <v>0</v>
          </cell>
          <cell r="E26">
            <v>10004282.9</v>
          </cell>
          <cell r="F26">
            <v>0</v>
          </cell>
          <cell r="G26">
            <v>10004282.9</v>
          </cell>
          <cell r="H26">
            <v>10004282.9</v>
          </cell>
        </row>
        <row r="27">
          <cell r="B27" t="str">
            <v>01-10-1000-000-000-01223</v>
          </cell>
          <cell r="C27" t="str">
            <v>Cash equivalents - SB1</v>
          </cell>
          <cell r="D27">
            <v>0</v>
          </cell>
          <cell r="E27">
            <v>1270057.7</v>
          </cell>
          <cell r="F27">
            <v>0</v>
          </cell>
          <cell r="G27">
            <v>1270057.7</v>
          </cell>
          <cell r="H27">
            <v>1270057.7</v>
          </cell>
        </row>
        <row r="28">
          <cell r="B28" t="str">
            <v>01-10-1000-000-000-01224</v>
          </cell>
          <cell r="C28" t="str">
            <v>Cash Equivelants - SB2</v>
          </cell>
          <cell r="D28">
            <v>0</v>
          </cell>
          <cell r="E28">
            <v>882003.55</v>
          </cell>
          <cell r="F28">
            <v>0</v>
          </cell>
          <cell r="G28">
            <v>882003.55</v>
          </cell>
          <cell r="H28">
            <v>882003.55</v>
          </cell>
        </row>
        <row r="29">
          <cell r="B29" t="str">
            <v>01-10-1000-000-000-02000</v>
          </cell>
          <cell r="C29" t="str">
            <v>AR-UNMMG-Mgmt Co</v>
          </cell>
          <cell r="D29">
            <v>4384826.3600000003</v>
          </cell>
          <cell r="E29">
            <v>19952399.059999999</v>
          </cell>
          <cell r="F29">
            <v>15123542.76</v>
          </cell>
          <cell r="G29">
            <v>4828856.3</v>
          </cell>
          <cell r="H29">
            <v>9213682.6600000001</v>
          </cell>
        </row>
        <row r="30">
          <cell r="B30" t="str">
            <v>01-10-1000-000-000-02100</v>
          </cell>
          <cell r="C30" t="str">
            <v>A/R-Unbilled TES-Mgmt Co</v>
          </cell>
          <cell r="D30">
            <v>350194</v>
          </cell>
          <cell r="E30">
            <v>717439.5</v>
          </cell>
          <cell r="F30">
            <v>712424.5</v>
          </cell>
          <cell r="G30">
            <v>5015</v>
          </cell>
          <cell r="H30">
            <v>355209</v>
          </cell>
        </row>
        <row r="31">
          <cell r="B31" t="str">
            <v>01-10-1000-000-000-02110</v>
          </cell>
          <cell r="C31" t="str">
            <v>AR-Other Govt-Mgmt Co</v>
          </cell>
          <cell r="D31">
            <v>0</v>
          </cell>
          <cell r="E31">
            <v>222116.84</v>
          </cell>
          <cell r="F31">
            <v>218539.95</v>
          </cell>
          <cell r="G31">
            <v>3576.89</v>
          </cell>
          <cell r="H31">
            <v>3576.89</v>
          </cell>
        </row>
        <row r="32">
          <cell r="B32" t="str">
            <v>01-10-1000-000-000-02120</v>
          </cell>
          <cell r="C32" t="str">
            <v>AR-Mcaid-Mgmt Co</v>
          </cell>
          <cell r="D32">
            <v>0</v>
          </cell>
          <cell r="E32">
            <v>3435098.96</v>
          </cell>
          <cell r="F32">
            <v>3332585.48</v>
          </cell>
          <cell r="G32">
            <v>102513.48</v>
          </cell>
          <cell r="H32">
            <v>102513.48</v>
          </cell>
        </row>
        <row r="33">
          <cell r="B33" t="str">
            <v>01-10-1000-000-000-02130</v>
          </cell>
          <cell r="C33" t="str">
            <v>AR-Mcare-Mgmt Co</v>
          </cell>
          <cell r="D33">
            <v>0</v>
          </cell>
          <cell r="E33">
            <v>2597823.62</v>
          </cell>
          <cell r="F33">
            <v>2559401.91</v>
          </cell>
          <cell r="G33">
            <v>38421.71</v>
          </cell>
          <cell r="H33">
            <v>38421.71</v>
          </cell>
        </row>
        <row r="34">
          <cell r="B34" t="str">
            <v>01-10-1000-000-000-02140</v>
          </cell>
          <cell r="C34" t="str">
            <v>AR-Insurance-Mgmt Co</v>
          </cell>
          <cell r="D34">
            <v>0</v>
          </cell>
          <cell r="E34">
            <v>480074.4</v>
          </cell>
          <cell r="F34">
            <v>335133.84000000003</v>
          </cell>
          <cell r="G34">
            <v>144940.56</v>
          </cell>
          <cell r="H34">
            <v>144940.56</v>
          </cell>
        </row>
        <row r="35">
          <cell r="B35" t="str">
            <v>01-10-1000-000-000-02150</v>
          </cell>
          <cell r="C35" t="str">
            <v>AR-HMO-Mgmt Co</v>
          </cell>
          <cell r="D35">
            <v>0</v>
          </cell>
          <cell r="E35">
            <v>1027980.95</v>
          </cell>
          <cell r="F35">
            <v>977082.79</v>
          </cell>
          <cell r="G35">
            <v>50898.16</v>
          </cell>
          <cell r="H35">
            <v>50898.16</v>
          </cell>
        </row>
        <row r="36">
          <cell r="B36" t="str">
            <v>01-10-1000-000-000-02155</v>
          </cell>
          <cell r="C36" t="str">
            <v>AR-FS-Mgmt Co</v>
          </cell>
          <cell r="D36">
            <v>0</v>
          </cell>
          <cell r="E36">
            <v>53402.37</v>
          </cell>
          <cell r="F36">
            <v>53193.760000000002</v>
          </cell>
          <cell r="G36">
            <v>208.61</v>
          </cell>
          <cell r="H36">
            <v>208.61</v>
          </cell>
        </row>
        <row r="37">
          <cell r="B37" t="str">
            <v>01-10-1000-000-000-02160</v>
          </cell>
          <cell r="C37" t="str">
            <v>AR-Private--Mgmt Co</v>
          </cell>
          <cell r="D37">
            <v>0</v>
          </cell>
          <cell r="E37">
            <v>3684765.17</v>
          </cell>
          <cell r="F37">
            <v>3619633.13</v>
          </cell>
          <cell r="G37">
            <v>65132.04</v>
          </cell>
          <cell r="H37">
            <v>65132.04</v>
          </cell>
        </row>
        <row r="38">
          <cell r="B38" t="str">
            <v>01-10-1000-000-000-02170</v>
          </cell>
          <cell r="C38" t="str">
            <v>AR-SP Billing-Mgmt Co</v>
          </cell>
          <cell r="D38">
            <v>-913.69</v>
          </cell>
          <cell r="E38">
            <v>1587014.84</v>
          </cell>
          <cell r="F38">
            <v>1585946.15</v>
          </cell>
          <cell r="G38">
            <v>1068.69</v>
          </cell>
          <cell r="H38">
            <v>155</v>
          </cell>
        </row>
        <row r="39">
          <cell r="B39" t="str">
            <v>01-10-1000-000-000-02200</v>
          </cell>
          <cell r="C39" t="str">
            <v>CA-Other Govt-Mgmt Co</v>
          </cell>
          <cell r="D39">
            <v>6415.02</v>
          </cell>
          <cell r="E39">
            <v>35.06</v>
          </cell>
          <cell r="F39">
            <v>83182.48</v>
          </cell>
          <cell r="G39">
            <v>-83147.42</v>
          </cell>
          <cell r="H39">
            <v>-76732.399999999994</v>
          </cell>
        </row>
        <row r="40">
          <cell r="B40" t="str">
            <v>01-10-1000-000-000-02210</v>
          </cell>
          <cell r="C40" t="str">
            <v>CA-Mcaid-Mgmt Co</v>
          </cell>
          <cell r="D40">
            <v>-26795.55</v>
          </cell>
          <cell r="E40">
            <v>757907.38</v>
          </cell>
          <cell r="F40">
            <v>3410278.62</v>
          </cell>
          <cell r="G40">
            <v>-2652371.2400000002</v>
          </cell>
          <cell r="H40">
            <v>-2679166.79</v>
          </cell>
        </row>
        <row r="41">
          <cell r="B41" t="str">
            <v>01-10-1000-000-000-02220</v>
          </cell>
          <cell r="C41" t="str">
            <v>CA-Mcare-Mgmt Co</v>
          </cell>
          <cell r="D41">
            <v>124507.18</v>
          </cell>
          <cell r="E41">
            <v>1812386.38</v>
          </cell>
          <cell r="F41">
            <v>3198834.3</v>
          </cell>
          <cell r="G41">
            <v>-1386447.92</v>
          </cell>
          <cell r="H41">
            <v>-1261940.74</v>
          </cell>
        </row>
        <row r="42">
          <cell r="B42" t="str">
            <v>01-10-1000-000-000-02230</v>
          </cell>
          <cell r="C42" t="str">
            <v>CA-Insurance-Mgmt Co</v>
          </cell>
          <cell r="D42">
            <v>66812.22</v>
          </cell>
          <cell r="E42">
            <v>807120.48</v>
          </cell>
          <cell r="F42">
            <v>1478581.11</v>
          </cell>
          <cell r="G42">
            <v>-671460.63</v>
          </cell>
          <cell r="H42">
            <v>-604648.41</v>
          </cell>
        </row>
        <row r="43">
          <cell r="B43" t="str">
            <v>01-10-1000-000-000-02240</v>
          </cell>
          <cell r="C43" t="str">
            <v>CA-HMO-Mgmt Co</v>
          </cell>
          <cell r="D43">
            <v>-11161.21</v>
          </cell>
          <cell r="E43">
            <v>151057.81</v>
          </cell>
          <cell r="F43">
            <v>752399.45</v>
          </cell>
          <cell r="G43">
            <v>-601341.64</v>
          </cell>
          <cell r="H43">
            <v>-612502.85</v>
          </cell>
        </row>
        <row r="44">
          <cell r="B44" t="str">
            <v>01-10-1000-000-000-02250</v>
          </cell>
          <cell r="C44" t="str">
            <v>CA-Private-Mgmt Co</v>
          </cell>
          <cell r="D44">
            <v>491963.81</v>
          </cell>
          <cell r="E44">
            <v>51292.53</v>
          </cell>
          <cell r="F44">
            <v>51292.24</v>
          </cell>
          <cell r="G44">
            <v>0.28999999999999998</v>
          </cell>
          <cell r="H44">
            <v>491964.1</v>
          </cell>
        </row>
        <row r="45">
          <cell r="B45" t="str">
            <v>01-10-1000-000-000-02260</v>
          </cell>
          <cell r="C45" t="str">
            <v>CA-SP Billing-Mgmt Co</v>
          </cell>
          <cell r="D45">
            <v>-7969.94</v>
          </cell>
          <cell r="E45">
            <v>133578.37</v>
          </cell>
          <cell r="F45">
            <v>17448.34</v>
          </cell>
          <cell r="G45">
            <v>116130.03</v>
          </cell>
          <cell r="H45">
            <v>108160.09</v>
          </cell>
        </row>
        <row r="46">
          <cell r="B46" t="str">
            <v>01-10-1000-000-000-02290</v>
          </cell>
          <cell r="C46" t="str">
            <v>C/A-Locum Tenens</v>
          </cell>
          <cell r="D46">
            <v>-332768</v>
          </cell>
          <cell r="E46">
            <v>332768</v>
          </cell>
          <cell r="F46">
            <v>0</v>
          </cell>
          <cell r="G46">
            <v>332768</v>
          </cell>
          <cell r="H46">
            <v>0</v>
          </cell>
        </row>
        <row r="47">
          <cell r="B47" t="str">
            <v>01-10-1000-000-000-03100</v>
          </cell>
          <cell r="C47" t="str">
            <v>Allow-Doubt Acct-Mgmt Co</v>
          </cell>
          <cell r="D47">
            <v>919787.93</v>
          </cell>
          <cell r="E47">
            <v>1088870.0900000001</v>
          </cell>
          <cell r="F47">
            <v>4500000</v>
          </cell>
          <cell r="G47">
            <v>-3411129.91</v>
          </cell>
          <cell r="H47">
            <v>-2491341.98</v>
          </cell>
        </row>
        <row r="48">
          <cell r="B48" t="str">
            <v>01-10-1000-000-000-03120</v>
          </cell>
          <cell r="C48" t="str">
            <v>Allow Doubt Acct -Other Govt-Mgmt Co</v>
          </cell>
          <cell r="D48">
            <v>49520.51</v>
          </cell>
          <cell r="E48">
            <v>1059033.21</v>
          </cell>
          <cell r="F48">
            <v>162188.9</v>
          </cell>
          <cell r="G48">
            <v>896844.31</v>
          </cell>
          <cell r="H48">
            <v>946364.82</v>
          </cell>
        </row>
        <row r="49">
          <cell r="B49" t="str">
            <v>01-10-1000-000-000-03130</v>
          </cell>
          <cell r="C49" t="str">
            <v>Allow Doubt Acct -Mcaid-Mgmt Co</v>
          </cell>
          <cell r="D49">
            <v>34530.269999999997</v>
          </cell>
          <cell r="E49">
            <v>378900.58</v>
          </cell>
          <cell r="F49">
            <v>386384.78</v>
          </cell>
          <cell r="G49">
            <v>-7484.2</v>
          </cell>
          <cell r="H49">
            <v>27046.07</v>
          </cell>
        </row>
        <row r="50">
          <cell r="B50" t="str">
            <v>01-10-1000-000-000-03140</v>
          </cell>
          <cell r="C50" t="str">
            <v>Allow-Doubt Acct -Mcare-Mgmt Co</v>
          </cell>
          <cell r="D50">
            <v>13160.82</v>
          </cell>
          <cell r="E50">
            <v>48094.65</v>
          </cell>
          <cell r="F50">
            <v>128835.93</v>
          </cell>
          <cell r="G50">
            <v>-80741.279999999999</v>
          </cell>
          <cell r="H50">
            <v>-67580.460000000006</v>
          </cell>
        </row>
        <row r="51">
          <cell r="B51" t="str">
            <v>01-10-1000-000-000-03150</v>
          </cell>
          <cell r="C51" t="str">
            <v>Allow Doubt Acct -Insurance-Mgmt Co</v>
          </cell>
          <cell r="D51">
            <v>15096.64</v>
          </cell>
          <cell r="E51">
            <v>111139.53</v>
          </cell>
          <cell r="F51">
            <v>380916.33</v>
          </cell>
          <cell r="G51">
            <v>-269776.8</v>
          </cell>
          <cell r="H51">
            <v>-254680.16</v>
          </cell>
        </row>
        <row r="52">
          <cell r="B52" t="str">
            <v>01-10-1000-000-000-03160</v>
          </cell>
          <cell r="C52" t="str">
            <v>Allow Doubt Acct HMO-Mgmt Co</v>
          </cell>
          <cell r="D52">
            <v>5215.01</v>
          </cell>
          <cell r="E52">
            <v>12153.83</v>
          </cell>
          <cell r="F52">
            <v>112590.67</v>
          </cell>
          <cell r="G52">
            <v>-100436.84</v>
          </cell>
          <cell r="H52">
            <v>-95221.83</v>
          </cell>
        </row>
        <row r="53">
          <cell r="B53" t="str">
            <v>01-10-1000-000-000-03170</v>
          </cell>
          <cell r="C53" t="str">
            <v>Allow Doubt Acct Free Svc-Mgmt Co</v>
          </cell>
          <cell r="D53">
            <v>6227.36</v>
          </cell>
          <cell r="E53">
            <v>356397.76</v>
          </cell>
          <cell r="F53">
            <v>772303.26</v>
          </cell>
          <cell r="G53">
            <v>-415905.5</v>
          </cell>
          <cell r="H53">
            <v>-409678.14</v>
          </cell>
        </row>
        <row r="54">
          <cell r="B54" t="str">
            <v>01-10-1000-000-000-03180</v>
          </cell>
          <cell r="C54" t="str">
            <v>Allow Doubt Acct -Private-Mgmt Co</v>
          </cell>
          <cell r="D54">
            <v>-2760768.13</v>
          </cell>
          <cell r="E54">
            <v>2229422.79</v>
          </cell>
          <cell r="F54">
            <v>4912206.22</v>
          </cell>
          <cell r="G54">
            <v>-2682783.4300000002</v>
          </cell>
          <cell r="H54">
            <v>-5443551.5599999996</v>
          </cell>
        </row>
        <row r="55">
          <cell r="B55" t="str">
            <v>01-10-1000-000-000-03185</v>
          </cell>
          <cell r="C55" t="str">
            <v>Allow Doubt Acct-Sp Billing-Mgmt Co</v>
          </cell>
          <cell r="D55">
            <v>937.25</v>
          </cell>
          <cell r="E55">
            <v>48.82</v>
          </cell>
          <cell r="F55">
            <v>181906.69</v>
          </cell>
          <cell r="G55">
            <v>-181857.87</v>
          </cell>
          <cell r="H55">
            <v>-180920.62</v>
          </cell>
        </row>
        <row r="56">
          <cell r="B56" t="str">
            <v>01-10-1000-000-000-12010</v>
          </cell>
          <cell r="C56" t="str">
            <v>Interest Receivable-Mgmt Co</v>
          </cell>
          <cell r="D56">
            <v>112.89</v>
          </cell>
          <cell r="E56">
            <v>9.61</v>
          </cell>
          <cell r="F56">
            <v>122.5</v>
          </cell>
          <cell r="G56">
            <v>-112.89</v>
          </cell>
          <cell r="H56">
            <v>0</v>
          </cell>
        </row>
        <row r="57">
          <cell r="B57" t="str">
            <v>01-10-1000-000-000-12340</v>
          </cell>
          <cell r="C57" t="str">
            <v>AR SCI-Mgmt Co</v>
          </cell>
          <cell r="D57">
            <v>830169.65</v>
          </cell>
          <cell r="E57">
            <v>4343638</v>
          </cell>
          <cell r="F57">
            <v>5173807.6500000004</v>
          </cell>
          <cell r="G57">
            <v>-830169.65</v>
          </cell>
          <cell r="H57">
            <v>0</v>
          </cell>
        </row>
        <row r="58">
          <cell r="B58" t="str">
            <v>01-10-1000-000-000-12350</v>
          </cell>
          <cell r="C58" t="str">
            <v>AR Credit Card Settlement-Mgmt Co</v>
          </cell>
          <cell r="D58">
            <v>-1730.27</v>
          </cell>
          <cell r="E58">
            <v>18699.47</v>
          </cell>
          <cell r="F58">
            <v>19826.900000000001</v>
          </cell>
          <cell r="G58">
            <v>-1127.43</v>
          </cell>
          <cell r="H58">
            <v>-2857.7</v>
          </cell>
        </row>
        <row r="59">
          <cell r="B59" t="str">
            <v>01-10-1000-000-000-12505</v>
          </cell>
          <cell r="C59" t="str">
            <v>AR, Returned Checks-Mgmt Co</v>
          </cell>
          <cell r="D59">
            <v>0</v>
          </cell>
          <cell r="E59">
            <v>9596.14</v>
          </cell>
          <cell r="F59">
            <v>9596.14</v>
          </cell>
          <cell r="G59">
            <v>0</v>
          </cell>
          <cell r="H59">
            <v>0</v>
          </cell>
        </row>
        <row r="60">
          <cell r="B60" t="str">
            <v>01-10-1000-000-000-12508</v>
          </cell>
          <cell r="C60" t="str">
            <v>Due from UNM General-Mgmt Co</v>
          </cell>
          <cell r="D60">
            <v>0</v>
          </cell>
          <cell r="E60">
            <v>5414.4</v>
          </cell>
          <cell r="F60">
            <v>5414.4</v>
          </cell>
          <cell r="G60">
            <v>0</v>
          </cell>
          <cell r="H60">
            <v>0</v>
          </cell>
        </row>
        <row r="61">
          <cell r="B61" t="str">
            <v>01-10-1000-000-000-12510</v>
          </cell>
          <cell r="C61" t="str">
            <v>Due from HSC-Mgmt Co</v>
          </cell>
          <cell r="D61">
            <v>1503687.93</v>
          </cell>
          <cell r="E61">
            <v>7785842.3899999997</v>
          </cell>
          <cell r="F61">
            <v>8638327.8800000008</v>
          </cell>
          <cell r="G61">
            <v>-852485.49</v>
          </cell>
          <cell r="H61">
            <v>651202.43999999994</v>
          </cell>
        </row>
        <row r="62">
          <cell r="B62" t="str">
            <v>01-10-1000-000-000-12511</v>
          </cell>
          <cell r="C62" t="str">
            <v>Due from SRMC-Neg Arbitrage</v>
          </cell>
          <cell r="D62">
            <v>0</v>
          </cell>
          <cell r="E62">
            <v>10125000</v>
          </cell>
          <cell r="F62">
            <v>1685000</v>
          </cell>
          <cell r="G62">
            <v>8440000</v>
          </cell>
          <cell r="H62">
            <v>8440000</v>
          </cell>
        </row>
        <row r="63">
          <cell r="B63" t="str">
            <v>01-10-1000-000-000-12512</v>
          </cell>
          <cell r="C63" t="str">
            <v>Due from UH-Mgmt Co</v>
          </cell>
          <cell r="D63">
            <v>572465.11</v>
          </cell>
          <cell r="E63">
            <v>2999734.34</v>
          </cell>
          <cell r="F63">
            <v>2663325.89</v>
          </cell>
          <cell r="G63">
            <v>336408.45</v>
          </cell>
          <cell r="H63">
            <v>908873.56</v>
          </cell>
        </row>
        <row r="64">
          <cell r="B64" t="str">
            <v>01-10-1000-000-000-12513</v>
          </cell>
          <cell r="C64" t="str">
            <v>Due from Sandoval Cty- Mgmt Co</v>
          </cell>
          <cell r="D64">
            <v>6002308.0599999996</v>
          </cell>
          <cell r="E64">
            <v>47109112.700000003</v>
          </cell>
          <cell r="F64">
            <v>52715350.020000003</v>
          </cell>
          <cell r="G64">
            <v>-5606237.3200000003</v>
          </cell>
          <cell r="H64">
            <v>396070.74</v>
          </cell>
        </row>
        <row r="65">
          <cell r="B65" t="str">
            <v>01-10-1000-000-000-12514</v>
          </cell>
          <cell r="C65" t="str">
            <v>Due from CRTC-Mgmt Co</v>
          </cell>
          <cell r="D65">
            <v>97842.15</v>
          </cell>
          <cell r="E65">
            <v>39938.660000000003</v>
          </cell>
          <cell r="F65">
            <v>137780.81</v>
          </cell>
          <cell r="G65">
            <v>-97842.15</v>
          </cell>
          <cell r="H65">
            <v>0</v>
          </cell>
        </row>
        <row r="66">
          <cell r="B66" t="str">
            <v>01-10-1000-000-000-12530</v>
          </cell>
          <cell r="C66" t="str">
            <v>AR UPL-Mgmt Co</v>
          </cell>
          <cell r="D66">
            <v>3389574.19</v>
          </cell>
          <cell r="E66">
            <v>12382743.390000001</v>
          </cell>
          <cell r="F66">
            <v>13120010.6</v>
          </cell>
          <cell r="G66">
            <v>-737267.21</v>
          </cell>
          <cell r="H66">
            <v>2652306.98</v>
          </cell>
        </row>
        <row r="67">
          <cell r="B67" t="str">
            <v>01-10-1000-000-000-13100</v>
          </cell>
          <cell r="C67" t="str">
            <v>Investments - ST-Mgmt Co</v>
          </cell>
          <cell r="D67">
            <v>2417905.08</v>
          </cell>
          <cell r="E67">
            <v>39986</v>
          </cell>
          <cell r="F67">
            <v>3299908.63</v>
          </cell>
          <cell r="G67">
            <v>-3259922.63</v>
          </cell>
          <cell r="H67">
            <v>-842017.55</v>
          </cell>
        </row>
        <row r="68">
          <cell r="B68" t="str">
            <v>01-10-1000-000-000-13510</v>
          </cell>
          <cell r="C68" t="str">
            <v>Board Appropriations LT-Mgmt Co</v>
          </cell>
          <cell r="D68">
            <v>-2417905</v>
          </cell>
          <cell r="E68">
            <v>12422187.9</v>
          </cell>
          <cell r="F68">
            <v>10004282.9</v>
          </cell>
          <cell r="G68">
            <v>2417905</v>
          </cell>
          <cell r="H68">
            <v>0</v>
          </cell>
        </row>
        <row r="69">
          <cell r="B69" t="str">
            <v>01-10-1000-000-000-15000</v>
          </cell>
          <cell r="C69" t="str">
            <v>FA Clearing Acct-Mgmt Co</v>
          </cell>
          <cell r="D69">
            <v>0</v>
          </cell>
          <cell r="E69">
            <v>227299.17</v>
          </cell>
          <cell r="F69">
            <v>227299.17</v>
          </cell>
          <cell r="G69">
            <v>0</v>
          </cell>
          <cell r="H69">
            <v>0</v>
          </cell>
        </row>
        <row r="70">
          <cell r="B70" t="str">
            <v>01-10-1000-000-000-15010</v>
          </cell>
          <cell r="C70" t="str">
            <v>Furniture &amp; Fixture-Mgmt Co</v>
          </cell>
          <cell r="D70">
            <v>108260.62</v>
          </cell>
          <cell r="E70">
            <v>40317.96</v>
          </cell>
          <cell r="F70">
            <v>1447.42</v>
          </cell>
          <cell r="G70">
            <v>38870.54</v>
          </cell>
          <cell r="H70">
            <v>147131.16</v>
          </cell>
        </row>
        <row r="71">
          <cell r="B71" t="str">
            <v>01-10-1000-000-000-15020</v>
          </cell>
          <cell r="C71" t="str">
            <v>Equipment-Mgmt Co</v>
          </cell>
          <cell r="D71">
            <v>105392.38</v>
          </cell>
          <cell r="E71">
            <v>11570.7</v>
          </cell>
          <cell r="F71">
            <v>4000</v>
          </cell>
          <cell r="G71">
            <v>7570.7</v>
          </cell>
          <cell r="H71">
            <v>112963.08</v>
          </cell>
        </row>
        <row r="72">
          <cell r="B72" t="str">
            <v>01-10-1000-000-000-15030</v>
          </cell>
          <cell r="C72" t="str">
            <v>Computer Equipment-Mgmt Co</v>
          </cell>
          <cell r="D72">
            <v>766983.12</v>
          </cell>
          <cell r="E72">
            <v>59981.3</v>
          </cell>
          <cell r="F72">
            <v>8610.36</v>
          </cell>
          <cell r="G72">
            <v>51370.94</v>
          </cell>
          <cell r="H72">
            <v>818354.06</v>
          </cell>
        </row>
        <row r="73">
          <cell r="B73" t="str">
            <v>01-10-1000-000-000-15040</v>
          </cell>
          <cell r="C73" t="str">
            <v>Computer Software-Mgmt Co</v>
          </cell>
          <cell r="D73">
            <v>3061040.65</v>
          </cell>
          <cell r="E73">
            <v>108199.08</v>
          </cell>
          <cell r="F73">
            <v>2129.6</v>
          </cell>
          <cell r="G73">
            <v>106069.48</v>
          </cell>
          <cell r="H73">
            <v>3167110.13</v>
          </cell>
        </row>
        <row r="74">
          <cell r="B74" t="str">
            <v>01-10-1000-000-000-15090</v>
          </cell>
          <cell r="C74" t="str">
            <v>Leasehold Improve-Mgmt Co</v>
          </cell>
          <cell r="D74">
            <v>27182.639999999999</v>
          </cell>
          <cell r="E74">
            <v>5490.83</v>
          </cell>
          <cell r="F74">
            <v>4389.58</v>
          </cell>
          <cell r="G74">
            <v>1101.25</v>
          </cell>
          <cell r="H74">
            <v>28283.89</v>
          </cell>
        </row>
        <row r="75">
          <cell r="B75" t="str">
            <v>01-10-1000-000-000-16010</v>
          </cell>
          <cell r="C75" t="str">
            <v>AD, Furniture &amp; Fixture-Mgmt Co</v>
          </cell>
          <cell r="D75">
            <v>-24017.040000000001</v>
          </cell>
          <cell r="E75">
            <v>8750.4699999999993</v>
          </cell>
          <cell r="F75">
            <v>46852.63</v>
          </cell>
          <cell r="G75">
            <v>-38102.160000000003</v>
          </cell>
          <cell r="H75">
            <v>-62119.199999999997</v>
          </cell>
        </row>
        <row r="76">
          <cell r="B76" t="str">
            <v>01-10-1000-000-000-16020</v>
          </cell>
          <cell r="C76" t="str">
            <v>AD, Equipment-Mgmt Co</v>
          </cell>
          <cell r="D76">
            <v>-53043.98</v>
          </cell>
          <cell r="E76">
            <v>8260.17</v>
          </cell>
          <cell r="F76">
            <v>39480.239999999998</v>
          </cell>
          <cell r="G76">
            <v>-31220.07</v>
          </cell>
          <cell r="H76">
            <v>-84264.05</v>
          </cell>
        </row>
        <row r="77">
          <cell r="B77" t="str">
            <v>01-10-1000-000-000-16030</v>
          </cell>
          <cell r="C77" t="str">
            <v>AD, Computer Equipment-Mgmt Co</v>
          </cell>
          <cell r="D77">
            <v>-565670.66</v>
          </cell>
          <cell r="E77">
            <v>32510.47</v>
          </cell>
          <cell r="F77">
            <v>144486.44</v>
          </cell>
          <cell r="G77">
            <v>-111975.97</v>
          </cell>
          <cell r="H77">
            <v>-677646.63</v>
          </cell>
        </row>
        <row r="78">
          <cell r="B78" t="str">
            <v>01-10-1000-000-000-16040</v>
          </cell>
          <cell r="C78" t="str">
            <v>AD, Computer Software-Mgmt Co</v>
          </cell>
          <cell r="D78">
            <v>-2011439.09</v>
          </cell>
          <cell r="E78">
            <v>76391.98</v>
          </cell>
          <cell r="F78">
            <v>370430.77</v>
          </cell>
          <cell r="G78">
            <v>-294038.78999999998</v>
          </cell>
          <cell r="H78">
            <v>-2305477.88</v>
          </cell>
        </row>
        <row r="79">
          <cell r="B79" t="str">
            <v>01-10-1000-000-000-16050</v>
          </cell>
          <cell r="C79" t="str">
            <v>AD, Leasehold Improve-Mgmt Co</v>
          </cell>
          <cell r="D79">
            <v>-5152.54</v>
          </cell>
          <cell r="E79">
            <v>2181.56</v>
          </cell>
          <cell r="F79">
            <v>10753.73</v>
          </cell>
          <cell r="G79">
            <v>-8572.17</v>
          </cell>
          <cell r="H79">
            <v>-13724.71</v>
          </cell>
        </row>
        <row r="80">
          <cell r="B80" t="str">
            <v>01-10-1000-000-000-17010</v>
          </cell>
          <cell r="C80" t="str">
            <v>Prepaid Exp &amp; Deposits - Mgmt Co</v>
          </cell>
          <cell r="D80">
            <v>128304.11</v>
          </cell>
          <cell r="E80">
            <v>716454.26</v>
          </cell>
          <cell r="F80">
            <v>647305.01</v>
          </cell>
          <cell r="G80">
            <v>69149.25</v>
          </cell>
          <cell r="H80">
            <v>197453.36</v>
          </cell>
        </row>
        <row r="81">
          <cell r="B81" t="str">
            <v>01-10-1000-000-000-20000</v>
          </cell>
          <cell r="C81" t="str">
            <v>AP, System-Mgmt Co</v>
          </cell>
          <cell r="D81">
            <v>-389590.82</v>
          </cell>
          <cell r="E81">
            <v>155997670.40000001</v>
          </cell>
          <cell r="F81">
            <v>156024737.38999999</v>
          </cell>
          <cell r="G81">
            <v>-27066.99</v>
          </cell>
          <cell r="H81">
            <v>-416657.81</v>
          </cell>
        </row>
        <row r="82">
          <cell r="B82" t="str">
            <v>01-10-1000-000-000-20005</v>
          </cell>
          <cell r="C82" t="str">
            <v>AP, Other-Mgmt Co</v>
          </cell>
          <cell r="D82">
            <v>-619496.93000000005</v>
          </cell>
          <cell r="E82">
            <v>6217688.2800000003</v>
          </cell>
          <cell r="F82">
            <v>6065876.3799999999</v>
          </cell>
          <cell r="G82">
            <v>151811.9</v>
          </cell>
          <cell r="H82">
            <v>-467685.03</v>
          </cell>
        </row>
        <row r="83">
          <cell r="B83" t="str">
            <v>01-10-1000-000-000-20010</v>
          </cell>
          <cell r="C83" t="str">
            <v>Operating Expense UNM-Banner-Mgmt Co</v>
          </cell>
          <cell r="D83">
            <v>-1094800.3500000001</v>
          </cell>
          <cell r="E83">
            <v>12904405.66</v>
          </cell>
          <cell r="F83">
            <v>12879899.66</v>
          </cell>
          <cell r="G83">
            <v>24506</v>
          </cell>
          <cell r="H83">
            <v>-1070294.3500000001</v>
          </cell>
        </row>
        <row r="84">
          <cell r="B84" t="str">
            <v>01-10-1000-000-000-20016</v>
          </cell>
          <cell r="C84" t="str">
            <v>Deferred Revenues-Mgmt Co</v>
          </cell>
          <cell r="D84">
            <v>0</v>
          </cell>
          <cell r="E84">
            <v>1042848.75</v>
          </cell>
          <cell r="F84">
            <v>1042848.75</v>
          </cell>
          <cell r="G84">
            <v>0</v>
          </cell>
          <cell r="H84">
            <v>0</v>
          </cell>
        </row>
        <row r="85">
          <cell r="B85" t="str">
            <v>01-10-1000-000-000-20018</v>
          </cell>
          <cell r="C85" t="str">
            <v>Due to UH-Mgmt Co</v>
          </cell>
          <cell r="D85">
            <v>-1242698.1299999999</v>
          </cell>
          <cell r="E85">
            <v>3993784.93</v>
          </cell>
          <cell r="F85">
            <v>3686683.27</v>
          </cell>
          <cell r="G85">
            <v>307101.65999999997</v>
          </cell>
          <cell r="H85">
            <v>-935596.47</v>
          </cell>
        </row>
        <row r="86">
          <cell r="B86" t="str">
            <v>01-10-1000-000-000-20020</v>
          </cell>
          <cell r="C86" t="str">
            <v>Due To Juvenile Justice-Mgmt Co</v>
          </cell>
          <cell r="D86">
            <v>-121816.42</v>
          </cell>
          <cell r="E86">
            <v>246832.68</v>
          </cell>
          <cell r="F86">
            <v>155001.51999999999</v>
          </cell>
          <cell r="G86">
            <v>91831.16</v>
          </cell>
          <cell r="H86">
            <v>-29985.26</v>
          </cell>
        </row>
        <row r="87">
          <cell r="B87" t="str">
            <v>01-10-1000-000-000-20021</v>
          </cell>
          <cell r="C87" t="str">
            <v>Due to CRTC-Mgmt Co</v>
          </cell>
          <cell r="D87">
            <v>-104505.67</v>
          </cell>
          <cell r="E87">
            <v>5011528.3</v>
          </cell>
          <cell r="F87">
            <v>4963006.08</v>
          </cell>
          <cell r="G87">
            <v>48522.22</v>
          </cell>
          <cell r="H87">
            <v>-55983.45</v>
          </cell>
        </row>
        <row r="88">
          <cell r="B88" t="str">
            <v>01-10-1000-000-000-20022</v>
          </cell>
          <cell r="C88" t="str">
            <v>Purchased Svc Payable-Mgmt Co</v>
          </cell>
          <cell r="D88">
            <v>-18134778.329999998</v>
          </cell>
          <cell r="E88">
            <v>104636188.48999999</v>
          </cell>
          <cell r="F88">
            <v>93945820.060000002</v>
          </cell>
          <cell r="G88">
            <v>10690368.43</v>
          </cell>
          <cell r="H88">
            <v>-7444409.9000000004</v>
          </cell>
        </row>
        <row r="89">
          <cell r="B89" t="str">
            <v>01-10-1000-000-000-20024</v>
          </cell>
          <cell r="C89" t="str">
            <v>SP Arrangements Payable-Mgmt Co</v>
          </cell>
          <cell r="D89">
            <v>-4159219.3</v>
          </cell>
          <cell r="E89">
            <v>17125290.489999998</v>
          </cell>
          <cell r="F89">
            <v>15643830.869999999</v>
          </cell>
          <cell r="G89">
            <v>1481459.62</v>
          </cell>
          <cell r="H89">
            <v>-2677759.6800000002</v>
          </cell>
        </row>
        <row r="90">
          <cell r="B90" t="str">
            <v>01-10-1000-000-000-20026</v>
          </cell>
          <cell r="C90" t="str">
            <v>Refunds Payable-Mgmt Co</v>
          </cell>
          <cell r="D90">
            <v>-782358.24</v>
          </cell>
          <cell r="E90">
            <v>2779271.01</v>
          </cell>
          <cell r="F90">
            <v>2402759.2400000002</v>
          </cell>
          <cell r="G90">
            <v>376511.77</v>
          </cell>
          <cell r="H90">
            <v>-405846.47</v>
          </cell>
        </row>
        <row r="91">
          <cell r="B91" t="str">
            <v>01-10-1000-000-000-20028</v>
          </cell>
          <cell r="C91" t="str">
            <v>Indigent Distribution-Mgmt Co</v>
          </cell>
          <cell r="D91">
            <v>-355659.8</v>
          </cell>
          <cell r="E91">
            <v>410991.39</v>
          </cell>
          <cell r="F91">
            <v>348430.47</v>
          </cell>
          <cell r="G91">
            <v>62560.92</v>
          </cell>
          <cell r="H91">
            <v>-293098.88</v>
          </cell>
        </row>
        <row r="92">
          <cell r="B92" t="str">
            <v>01-10-1000-000-000-20030</v>
          </cell>
          <cell r="C92" t="str">
            <v>Accrued Leave-Mgmt Co</v>
          </cell>
          <cell r="D92">
            <v>-614536.18999999994</v>
          </cell>
          <cell r="E92">
            <v>1229688.02</v>
          </cell>
          <cell r="F92">
            <v>1343321.2</v>
          </cell>
          <cell r="G92">
            <v>-113633.18</v>
          </cell>
          <cell r="H92">
            <v>-728169.37</v>
          </cell>
        </row>
        <row r="93">
          <cell r="B93" t="str">
            <v>01-10-1000-000-000-20032</v>
          </cell>
          <cell r="C93" t="str">
            <v>Deposits not UNMMG-Mgmt Co</v>
          </cell>
          <cell r="D93">
            <v>-18390.580000000002</v>
          </cell>
          <cell r="E93">
            <v>127623.02</v>
          </cell>
          <cell r="F93">
            <v>120234</v>
          </cell>
          <cell r="G93">
            <v>7389.02</v>
          </cell>
          <cell r="H93">
            <v>-11001.56</v>
          </cell>
        </row>
        <row r="94">
          <cell r="B94" t="str">
            <v>01-10-1000-000-000-20034</v>
          </cell>
          <cell r="C94" t="str">
            <v>Dental Clinic Payable-Mgmt Co</v>
          </cell>
          <cell r="D94">
            <v>0</v>
          </cell>
          <cell r="E94">
            <v>11</v>
          </cell>
          <cell r="F94">
            <v>11</v>
          </cell>
          <cell r="G94">
            <v>0</v>
          </cell>
          <cell r="H94">
            <v>0</v>
          </cell>
        </row>
        <row r="95">
          <cell r="B95" t="str">
            <v>01-10-1000-000-000-20036</v>
          </cell>
          <cell r="C95" t="str">
            <v>Settlement Liability-Mgmt Co</v>
          </cell>
          <cell r="D95">
            <v>-847000</v>
          </cell>
          <cell r="E95">
            <v>853200</v>
          </cell>
          <cell r="F95">
            <v>6200</v>
          </cell>
          <cell r="G95">
            <v>847000</v>
          </cell>
          <cell r="H95">
            <v>0</v>
          </cell>
        </row>
        <row r="96">
          <cell r="B96" t="str">
            <v>01-10-1000-000-000-20038</v>
          </cell>
          <cell r="C96" t="str">
            <v>Unclaimed Property-Mgmt Co</v>
          </cell>
          <cell r="D96">
            <v>-164759.48000000001</v>
          </cell>
          <cell r="E96">
            <v>163252.22</v>
          </cell>
          <cell r="F96">
            <v>64430.15</v>
          </cell>
          <cell r="G96">
            <v>98822.07</v>
          </cell>
          <cell r="H96">
            <v>-65937.41</v>
          </cell>
        </row>
        <row r="97">
          <cell r="B97" t="str">
            <v>01-10-1000-000-000-20050</v>
          </cell>
          <cell r="C97" t="str">
            <v>Malpractice Reserve-Mgmt Co</v>
          </cell>
          <cell r="D97">
            <v>-1002758.02</v>
          </cell>
          <cell r="E97">
            <v>1000000</v>
          </cell>
          <cell r="F97">
            <v>500000</v>
          </cell>
          <cell r="G97">
            <v>500000</v>
          </cell>
          <cell r="H97">
            <v>-502758.02</v>
          </cell>
        </row>
        <row r="98">
          <cell r="B98" t="str">
            <v>01-10-1000-000-000-20060</v>
          </cell>
          <cell r="C98" t="str">
            <v>Recission Assessment-Mgmt Co</v>
          </cell>
          <cell r="D98">
            <v>-821913.48</v>
          </cell>
          <cell r="E98">
            <v>1560487.43</v>
          </cell>
          <cell r="F98">
            <v>738573.95</v>
          </cell>
          <cell r="G98">
            <v>821913.48</v>
          </cell>
          <cell r="H98">
            <v>0</v>
          </cell>
        </row>
        <row r="99">
          <cell r="B99" t="str">
            <v>01-10-1000-000-000-20099</v>
          </cell>
          <cell r="C99" t="str">
            <v>Accrued Payroll Expense-Mgmt Co</v>
          </cell>
          <cell r="D99">
            <v>-141158.62</v>
          </cell>
          <cell r="E99">
            <v>14949868.609999999</v>
          </cell>
          <cell r="F99">
            <v>15177078.390000001</v>
          </cell>
          <cell r="G99">
            <v>-227209.78</v>
          </cell>
          <cell r="H99">
            <v>-368368.4</v>
          </cell>
        </row>
        <row r="100">
          <cell r="B100" t="str">
            <v>01-10-1000-000-000-20100</v>
          </cell>
          <cell r="C100" t="str">
            <v>403(b) Contributions -Mgmt Co</v>
          </cell>
          <cell r="D100">
            <v>-49571.06</v>
          </cell>
          <cell r="E100">
            <v>1248028.76</v>
          </cell>
          <cell r="F100">
            <v>1198457.7</v>
          </cell>
          <cell r="G100">
            <v>49571.06</v>
          </cell>
          <cell r="H100">
            <v>0</v>
          </cell>
        </row>
        <row r="101">
          <cell r="B101" t="str">
            <v>01-10-1000-000-000-20102</v>
          </cell>
          <cell r="C101" t="str">
            <v>Emp FSA Contributions -Mgmt Co</v>
          </cell>
          <cell r="D101">
            <v>399.95</v>
          </cell>
          <cell r="E101">
            <v>59705.14</v>
          </cell>
          <cell r="F101">
            <v>53004.06</v>
          </cell>
          <cell r="G101">
            <v>6701.08</v>
          </cell>
          <cell r="H101">
            <v>7101.03</v>
          </cell>
        </row>
        <row r="102">
          <cell r="B102" t="str">
            <v>01-10-1000-000-000-20104</v>
          </cell>
          <cell r="C102" t="str">
            <v>Hlth, Dental &amp; Vision Ded-Mgmt Co</v>
          </cell>
          <cell r="D102">
            <v>0</v>
          </cell>
          <cell r="E102">
            <v>990020.7</v>
          </cell>
          <cell r="F102">
            <v>990020.7</v>
          </cell>
          <cell r="G102">
            <v>0</v>
          </cell>
          <cell r="H102">
            <v>0</v>
          </cell>
        </row>
        <row r="103">
          <cell r="B103" t="str">
            <v>01-10-1000-000-000-20108</v>
          </cell>
          <cell r="C103" t="str">
            <v>Life &amp; LTD Insurance Payable-Mgmt Co</v>
          </cell>
          <cell r="D103">
            <v>-13.93</v>
          </cell>
          <cell r="E103">
            <v>43509.83</v>
          </cell>
          <cell r="F103">
            <v>43495.9</v>
          </cell>
          <cell r="G103">
            <v>13.93</v>
          </cell>
          <cell r="H103">
            <v>0</v>
          </cell>
        </row>
        <row r="104">
          <cell r="B104" t="str">
            <v>01-10-1000-000-000-20114</v>
          </cell>
          <cell r="C104" t="str">
            <v>Parking -Mgmt Co</v>
          </cell>
          <cell r="D104">
            <v>-49.83</v>
          </cell>
          <cell r="E104">
            <v>9338.61</v>
          </cell>
          <cell r="F104">
            <v>8178.24</v>
          </cell>
          <cell r="G104">
            <v>1160.3699999999999</v>
          </cell>
          <cell r="H104">
            <v>1110.54</v>
          </cell>
        </row>
        <row r="105">
          <cell r="B105" t="str">
            <v>01-10-1000-000-000-20116</v>
          </cell>
          <cell r="C105" t="str">
            <v>United Way-Mgmt Co</v>
          </cell>
          <cell r="D105">
            <v>0</v>
          </cell>
          <cell r="E105">
            <v>12449.21</v>
          </cell>
          <cell r="F105">
            <v>12449.21</v>
          </cell>
          <cell r="G105">
            <v>0</v>
          </cell>
          <cell r="H105">
            <v>0</v>
          </cell>
        </row>
        <row r="106">
          <cell r="B106" t="str">
            <v>01-10-1000-000-000-20118</v>
          </cell>
          <cell r="C106" t="str">
            <v>Emp Advance-Mgmt Co</v>
          </cell>
          <cell r="D106">
            <v>0</v>
          </cell>
          <cell r="E106">
            <v>4208.96</v>
          </cell>
          <cell r="F106">
            <v>4208.96</v>
          </cell>
          <cell r="G106">
            <v>0</v>
          </cell>
          <cell r="H106">
            <v>0</v>
          </cell>
        </row>
        <row r="107">
          <cell r="B107" t="str">
            <v>01-10-1000-000-000-20119</v>
          </cell>
          <cell r="C107" t="str">
            <v>Garnishments-Mgmt Co</v>
          </cell>
          <cell r="D107">
            <v>0</v>
          </cell>
          <cell r="E107">
            <v>7892.93</v>
          </cell>
          <cell r="F107">
            <v>7892.93</v>
          </cell>
          <cell r="G107">
            <v>0</v>
          </cell>
          <cell r="H107">
            <v>0</v>
          </cell>
        </row>
        <row r="108">
          <cell r="B108" t="str">
            <v>01-10-1000-000-000-20128</v>
          </cell>
          <cell r="C108" t="str">
            <v>ER STD Disability Contribution-Mgmt Co</v>
          </cell>
          <cell r="D108">
            <v>104.26</v>
          </cell>
          <cell r="E108">
            <v>37629.040000000001</v>
          </cell>
          <cell r="F108">
            <v>37733.300000000003</v>
          </cell>
          <cell r="G108">
            <v>-104.26</v>
          </cell>
          <cell r="H108">
            <v>0</v>
          </cell>
        </row>
        <row r="109">
          <cell r="B109" t="str">
            <v>01-10-1000-000-000-20130</v>
          </cell>
          <cell r="C109" t="str">
            <v>Fica Mcare Fed Tax Payable-Mgmt Co</v>
          </cell>
          <cell r="D109">
            <v>-2155.4</v>
          </cell>
          <cell r="E109">
            <v>2399387.31</v>
          </cell>
          <cell r="F109">
            <v>2397231.91</v>
          </cell>
          <cell r="G109">
            <v>2155.4</v>
          </cell>
          <cell r="H109">
            <v>0</v>
          </cell>
        </row>
        <row r="110">
          <cell r="B110" t="str">
            <v>01-10-1000-000-000-20136</v>
          </cell>
          <cell r="C110" t="str">
            <v>Emp State Tax Ded-Mgmt Co</v>
          </cell>
          <cell r="D110">
            <v>-95.8</v>
          </cell>
          <cell r="E110">
            <v>295342.88</v>
          </cell>
          <cell r="F110">
            <v>295247.08</v>
          </cell>
          <cell r="G110">
            <v>95.8</v>
          </cell>
          <cell r="H110">
            <v>0</v>
          </cell>
        </row>
        <row r="111">
          <cell r="B111" t="str">
            <v>01-10-1000-000-000-20138</v>
          </cell>
          <cell r="C111" t="str">
            <v>ER FUI-Mgmt Co</v>
          </cell>
          <cell r="D111">
            <v>0</v>
          </cell>
          <cell r="E111">
            <v>15590.18</v>
          </cell>
          <cell r="F111">
            <v>15590.18</v>
          </cell>
          <cell r="G111">
            <v>0</v>
          </cell>
          <cell r="H111">
            <v>0</v>
          </cell>
        </row>
        <row r="112">
          <cell r="B112" t="str">
            <v>01-10-1000-000-000-20140</v>
          </cell>
          <cell r="C112" t="str">
            <v>ER SUI-Mgmt Co</v>
          </cell>
          <cell r="D112">
            <v>0</v>
          </cell>
          <cell r="E112">
            <v>107546.75</v>
          </cell>
          <cell r="F112">
            <v>107546.75</v>
          </cell>
          <cell r="G112">
            <v>0</v>
          </cell>
          <cell r="H112">
            <v>0</v>
          </cell>
        </row>
        <row r="113">
          <cell r="B113" t="str">
            <v>01-10-1000-000-000-20142</v>
          </cell>
          <cell r="C113" t="str">
            <v>Worker's Comp Fee-Mgmt Co</v>
          </cell>
          <cell r="D113">
            <v>-528.9</v>
          </cell>
          <cell r="E113">
            <v>3384.1</v>
          </cell>
          <cell r="F113">
            <v>2855.2</v>
          </cell>
          <cell r="G113">
            <v>528.9</v>
          </cell>
          <cell r="H113">
            <v>0</v>
          </cell>
        </row>
        <row r="114">
          <cell r="B114" t="str">
            <v>01-10-1000-000-000-20150</v>
          </cell>
          <cell r="C114" t="str">
            <v>EE Expense Reimbursement - Mgmt Co</v>
          </cell>
          <cell r="D114">
            <v>-138.76</v>
          </cell>
          <cell r="E114">
            <v>22482.03</v>
          </cell>
          <cell r="F114">
            <v>22343.27</v>
          </cell>
          <cell r="G114">
            <v>138.76</v>
          </cell>
          <cell r="H114">
            <v>0</v>
          </cell>
        </row>
        <row r="115">
          <cell r="B115" t="str">
            <v>01-10-1000-000-000-31000</v>
          </cell>
          <cell r="C115" t="str">
            <v>Invested in Capital Assets-Mgmt Co</v>
          </cell>
          <cell r="D115">
            <v>-1475876.35</v>
          </cell>
          <cell r="E115">
            <v>491413.45</v>
          </cell>
          <cell r="F115">
            <v>224193.19</v>
          </cell>
          <cell r="G115">
            <v>267220.26</v>
          </cell>
          <cell r="H115">
            <v>-1208656.0900000001</v>
          </cell>
        </row>
        <row r="116">
          <cell r="B116" t="str">
            <v>01-10-1000-000-000-35010</v>
          </cell>
          <cell r="C116" t="str">
            <v>Prior Yr Fund Balance-Mgmt Co</v>
          </cell>
          <cell r="D116">
            <v>8364416.3499999996</v>
          </cell>
          <cell r="E116">
            <v>185147004.25</v>
          </cell>
          <cell r="F116">
            <v>3649889.83</v>
          </cell>
          <cell r="G116">
            <v>181497114.41999999</v>
          </cell>
          <cell r="H116">
            <v>189861530.77000001</v>
          </cell>
        </row>
        <row r="117">
          <cell r="B117" t="str">
            <v>01-10-1000-000-000-35200</v>
          </cell>
          <cell r="C117" t="str">
            <v>Capital Reserve-Mgmt Co</v>
          </cell>
          <cell r="D117">
            <v>-694635</v>
          </cell>
          <cell r="E117">
            <v>435685.87</v>
          </cell>
          <cell r="F117">
            <v>922623.39</v>
          </cell>
          <cell r="G117">
            <v>-486937.52</v>
          </cell>
          <cell r="H117">
            <v>-1181572.52</v>
          </cell>
        </row>
        <row r="118">
          <cell r="B118" t="str">
            <v>01-10-1000-000-000-35500</v>
          </cell>
          <cell r="C118" t="str">
            <v>Quality Reserve-Mgmt Co</v>
          </cell>
          <cell r="D118">
            <v>-1200000</v>
          </cell>
          <cell r="E118">
            <v>700000</v>
          </cell>
          <cell r="F118">
            <v>700000</v>
          </cell>
          <cell r="G118">
            <v>0</v>
          </cell>
          <cell r="H118">
            <v>-1200000</v>
          </cell>
        </row>
        <row r="119">
          <cell r="B119" t="str">
            <v>01-10-1000-000-000-35550</v>
          </cell>
          <cell r="C119" t="str">
            <v>Department Reserve-Mgmt Co</v>
          </cell>
          <cell r="D119">
            <v>-3025416</v>
          </cell>
          <cell r="E119">
            <v>37452.81</v>
          </cell>
          <cell r="F119">
            <v>14611235.810000001</v>
          </cell>
          <cell r="G119">
            <v>-14573783</v>
          </cell>
          <cell r="H119">
            <v>-17599199</v>
          </cell>
        </row>
        <row r="120">
          <cell r="B120" t="str">
            <v>01-10-1000-000-000-35551</v>
          </cell>
          <cell r="C120" t="str">
            <v>Recission Reserve-Mgmt Co</v>
          </cell>
          <cell r="D120">
            <v>0</v>
          </cell>
          <cell r="E120">
            <v>5.46</v>
          </cell>
          <cell r="F120">
            <v>2652297.46</v>
          </cell>
          <cell r="G120">
            <v>-2652292</v>
          </cell>
          <cell r="H120">
            <v>-2652292</v>
          </cell>
        </row>
        <row r="121">
          <cell r="B121" t="str">
            <v>01-10-1000-000-000-35600</v>
          </cell>
          <cell r="C121" t="str">
            <v>Investment Reserve-Mgmt Co</v>
          </cell>
          <cell r="D121">
            <v>-7707771.3300000001</v>
          </cell>
          <cell r="E121">
            <v>1414521</v>
          </cell>
          <cell r="F121">
            <v>2333325</v>
          </cell>
          <cell r="G121">
            <v>-918804</v>
          </cell>
          <cell r="H121">
            <v>-8626575.3300000001</v>
          </cell>
        </row>
        <row r="122">
          <cell r="B122" t="str">
            <v>01-10-1000-000-100-40000</v>
          </cell>
          <cell r="C122" t="str">
            <v>Gross Billing-Other Govt - Mgmt Co</v>
          </cell>
          <cell r="D122">
            <v>0</v>
          </cell>
          <cell r="E122">
            <v>425</v>
          </cell>
          <cell r="F122">
            <v>332</v>
          </cell>
          <cell r="G122">
            <v>93</v>
          </cell>
          <cell r="H122">
            <v>93</v>
          </cell>
        </row>
        <row r="123">
          <cell r="B123" t="str">
            <v>01-10-1000-000-100-40010</v>
          </cell>
          <cell r="C123" t="str">
            <v>Gross Billing-Mcaid - Mgmt Co</v>
          </cell>
          <cell r="D123">
            <v>0</v>
          </cell>
          <cell r="E123">
            <v>1183618</v>
          </cell>
          <cell r="F123">
            <v>2588768.5</v>
          </cell>
          <cell r="G123">
            <v>-1405150.5</v>
          </cell>
          <cell r="H123">
            <v>-1405150.5</v>
          </cell>
        </row>
        <row r="124">
          <cell r="B124" t="str">
            <v>01-10-1000-000-100-40020</v>
          </cell>
          <cell r="C124" t="str">
            <v>Gross Billing-Mcare - Mgmt Co</v>
          </cell>
          <cell r="D124">
            <v>0</v>
          </cell>
          <cell r="E124">
            <v>691569.5</v>
          </cell>
          <cell r="F124">
            <v>2027902</v>
          </cell>
          <cell r="G124">
            <v>-1336332.5</v>
          </cell>
          <cell r="H124">
            <v>-1336332.5</v>
          </cell>
        </row>
        <row r="125">
          <cell r="B125" t="str">
            <v>01-10-1000-000-100-40030</v>
          </cell>
          <cell r="C125" t="str">
            <v>Gross Billing-HMO  PPO - Mgmt Co</v>
          </cell>
          <cell r="D125">
            <v>0</v>
          </cell>
          <cell r="E125">
            <v>271557</v>
          </cell>
          <cell r="F125">
            <v>656449</v>
          </cell>
          <cell r="G125">
            <v>-384892</v>
          </cell>
          <cell r="H125">
            <v>-384892</v>
          </cell>
        </row>
        <row r="126">
          <cell r="B126" t="str">
            <v>01-10-1000-000-100-40040</v>
          </cell>
          <cell r="C126" t="str">
            <v>Gross Billing-Insurance - Mgmt Co</v>
          </cell>
          <cell r="D126">
            <v>0</v>
          </cell>
          <cell r="E126">
            <v>677964.5</v>
          </cell>
          <cell r="F126">
            <v>1359523.5</v>
          </cell>
          <cell r="G126">
            <v>-681559</v>
          </cell>
          <cell r="H126">
            <v>-681559</v>
          </cell>
        </row>
        <row r="127">
          <cell r="B127" t="str">
            <v>01-10-1000-000-100-40050</v>
          </cell>
          <cell r="C127" t="str">
            <v>Gross Billing-Free Svc - Mgmt Co</v>
          </cell>
          <cell r="D127">
            <v>0</v>
          </cell>
          <cell r="E127">
            <v>241499.5</v>
          </cell>
          <cell r="F127">
            <v>659882</v>
          </cell>
          <cell r="G127">
            <v>-418382.5</v>
          </cell>
          <cell r="H127">
            <v>-418382.5</v>
          </cell>
        </row>
        <row r="128">
          <cell r="B128" t="str">
            <v>01-10-1000-000-100-40060</v>
          </cell>
          <cell r="C128" t="str">
            <v>Gross Billing-Private - Mgmt Co</v>
          </cell>
          <cell r="D128">
            <v>0</v>
          </cell>
          <cell r="E128">
            <v>402999</v>
          </cell>
          <cell r="F128">
            <v>1190394.5</v>
          </cell>
          <cell r="G128">
            <v>-787395.5</v>
          </cell>
          <cell r="H128">
            <v>-787395.5</v>
          </cell>
        </row>
        <row r="129">
          <cell r="B129" t="str">
            <v>01-10-1000-000-100-40100</v>
          </cell>
          <cell r="C129" t="str">
            <v>Gross Billing-Sp Bill - Mgmt Co</v>
          </cell>
          <cell r="D129">
            <v>0</v>
          </cell>
          <cell r="E129">
            <v>132835.85999999999</v>
          </cell>
          <cell r="F129">
            <v>730431.16</v>
          </cell>
          <cell r="G129">
            <v>-597595.30000000005</v>
          </cell>
          <cell r="H129">
            <v>-597595.30000000005</v>
          </cell>
        </row>
        <row r="130">
          <cell r="B130" t="str">
            <v>01-10-1000-000-100-43000</v>
          </cell>
          <cell r="C130" t="str">
            <v>Contractual Allow-Other Govt-Mgmt Co</v>
          </cell>
          <cell r="D130">
            <v>0</v>
          </cell>
          <cell r="E130">
            <v>1884.38</v>
          </cell>
          <cell r="F130">
            <v>1404.02</v>
          </cell>
          <cell r="G130">
            <v>480.36</v>
          </cell>
          <cell r="H130">
            <v>480.36</v>
          </cell>
        </row>
        <row r="131">
          <cell r="B131" t="str">
            <v>01-10-1000-000-100-43010</v>
          </cell>
          <cell r="C131" t="str">
            <v>Contract Allow-Mcaid - Mgmt Co</v>
          </cell>
          <cell r="D131">
            <v>0</v>
          </cell>
          <cell r="E131">
            <v>1814807.58</v>
          </cell>
          <cell r="F131">
            <v>826414.47</v>
          </cell>
          <cell r="G131">
            <v>988393.11</v>
          </cell>
          <cell r="H131">
            <v>988393.11</v>
          </cell>
        </row>
        <row r="132">
          <cell r="B132" t="str">
            <v>01-10-1000-000-100-43020</v>
          </cell>
          <cell r="C132" t="str">
            <v>Contract Allow-Mcare - Mgmt Co</v>
          </cell>
          <cell r="D132">
            <v>0</v>
          </cell>
          <cell r="E132">
            <v>1576164.24</v>
          </cell>
          <cell r="F132">
            <v>749701.58</v>
          </cell>
          <cell r="G132">
            <v>826462.66</v>
          </cell>
          <cell r="H132">
            <v>826462.66</v>
          </cell>
        </row>
        <row r="133">
          <cell r="B133" t="str">
            <v>01-10-1000-000-100-43030</v>
          </cell>
          <cell r="C133" t="str">
            <v>Contract Allow-HMO  PPO - Mgmt Co</v>
          </cell>
          <cell r="D133">
            <v>0</v>
          </cell>
          <cell r="E133">
            <v>293807.83</v>
          </cell>
          <cell r="F133">
            <v>181027.4</v>
          </cell>
          <cell r="G133">
            <v>112780.43</v>
          </cell>
          <cell r="H133">
            <v>112780.43</v>
          </cell>
        </row>
        <row r="134">
          <cell r="B134" t="str">
            <v>01-10-1000-000-100-43040</v>
          </cell>
          <cell r="C134" t="str">
            <v>Contract Allow-Insurance - Mgmt Co</v>
          </cell>
          <cell r="D134">
            <v>0</v>
          </cell>
          <cell r="E134">
            <v>734598.25</v>
          </cell>
          <cell r="F134">
            <v>389831.45</v>
          </cell>
          <cell r="G134">
            <v>344766.8</v>
          </cell>
          <cell r="H134">
            <v>344766.8</v>
          </cell>
        </row>
        <row r="135">
          <cell r="B135" t="str">
            <v>01-10-1000-000-100-43060</v>
          </cell>
          <cell r="C135" t="str">
            <v>Contract Allow-Private - Mgmt Co</v>
          </cell>
          <cell r="D135">
            <v>0</v>
          </cell>
          <cell r="E135">
            <v>86976.87</v>
          </cell>
          <cell r="F135">
            <v>1076290.54</v>
          </cell>
          <cell r="G135">
            <v>-989313.67</v>
          </cell>
          <cell r="H135">
            <v>-989313.67</v>
          </cell>
        </row>
        <row r="136">
          <cell r="B136" t="str">
            <v>01-10-1000-000-100-43100</v>
          </cell>
          <cell r="C136" t="str">
            <v>Contract Allow-SP Billing - Mgmt Co</v>
          </cell>
          <cell r="D136">
            <v>0</v>
          </cell>
          <cell r="E136">
            <v>13103.2</v>
          </cell>
          <cell r="F136">
            <v>74258.53</v>
          </cell>
          <cell r="G136">
            <v>-61155.33</v>
          </cell>
          <cell r="H136">
            <v>-61155.33</v>
          </cell>
        </row>
        <row r="137">
          <cell r="B137" t="str">
            <v>01-10-1000-000-100-43101</v>
          </cell>
          <cell r="C137" t="str">
            <v>Contract Allow-Sp Billing-PRC-Mgmt Co</v>
          </cell>
          <cell r="D137">
            <v>0</v>
          </cell>
          <cell r="E137">
            <v>0</v>
          </cell>
          <cell r="F137">
            <v>2703</v>
          </cell>
          <cell r="G137">
            <v>-2703</v>
          </cell>
          <cell r="H137">
            <v>-2703</v>
          </cell>
        </row>
        <row r="138">
          <cell r="B138" t="str">
            <v>01-10-1000-000-100-46000</v>
          </cell>
          <cell r="C138" t="str">
            <v>Adj-Credit Other Govt - Mgmt</v>
          </cell>
          <cell r="D138">
            <v>0</v>
          </cell>
          <cell r="E138">
            <v>0</v>
          </cell>
          <cell r="F138">
            <v>11601.03</v>
          </cell>
          <cell r="G138">
            <v>-11601.03</v>
          </cell>
          <cell r="H138">
            <v>-11601.03</v>
          </cell>
        </row>
        <row r="139">
          <cell r="B139" t="str">
            <v>01-10-1000-000-100-46010</v>
          </cell>
          <cell r="C139" t="str">
            <v>Adj-Credit Mcaid - Mgmt Co</v>
          </cell>
          <cell r="D139">
            <v>0</v>
          </cell>
          <cell r="E139">
            <v>0</v>
          </cell>
          <cell r="F139">
            <v>32256.77</v>
          </cell>
          <cell r="G139">
            <v>-32256.77</v>
          </cell>
          <cell r="H139">
            <v>-32256.77</v>
          </cell>
        </row>
        <row r="140">
          <cell r="B140" t="str">
            <v>01-10-1000-000-100-46020</v>
          </cell>
          <cell r="C140" t="str">
            <v>Adj-Credit Mcare - Mgmt Co</v>
          </cell>
          <cell r="D140">
            <v>0</v>
          </cell>
          <cell r="E140">
            <v>0</v>
          </cell>
          <cell r="F140">
            <v>19319.12</v>
          </cell>
          <cell r="G140">
            <v>-19319.12</v>
          </cell>
          <cell r="H140">
            <v>-19319.12</v>
          </cell>
        </row>
        <row r="141">
          <cell r="B141" t="str">
            <v>01-10-1000-000-100-46030</v>
          </cell>
          <cell r="C141" t="str">
            <v>Adj-Credit HMO  PPO - Mgmt Co</v>
          </cell>
          <cell r="D141">
            <v>0</v>
          </cell>
          <cell r="E141">
            <v>0</v>
          </cell>
          <cell r="F141">
            <v>24315.71</v>
          </cell>
          <cell r="G141">
            <v>-24315.71</v>
          </cell>
          <cell r="H141">
            <v>-24315.71</v>
          </cell>
        </row>
        <row r="142">
          <cell r="B142" t="str">
            <v>01-10-1000-000-100-46040</v>
          </cell>
          <cell r="C142" t="str">
            <v>Adj-Credit Insurance - Mgmt Co</v>
          </cell>
          <cell r="D142">
            <v>0</v>
          </cell>
          <cell r="E142">
            <v>0</v>
          </cell>
          <cell r="F142">
            <v>34219.11</v>
          </cell>
          <cell r="G142">
            <v>-34219.11</v>
          </cell>
          <cell r="H142">
            <v>-34219.11</v>
          </cell>
        </row>
        <row r="143">
          <cell r="B143" t="str">
            <v>01-10-1000-000-100-46050</v>
          </cell>
          <cell r="C143" t="str">
            <v>Adj-Credit Free Svc - Mgmt Co</v>
          </cell>
          <cell r="D143">
            <v>0</v>
          </cell>
          <cell r="E143">
            <v>0</v>
          </cell>
          <cell r="F143">
            <v>59.07</v>
          </cell>
          <cell r="G143">
            <v>-59.07</v>
          </cell>
          <cell r="H143">
            <v>-59.07</v>
          </cell>
        </row>
        <row r="144">
          <cell r="B144" t="str">
            <v>01-10-1000-000-100-46060</v>
          </cell>
          <cell r="C144" t="str">
            <v>Adj-Credit Private - Mgmt Co</v>
          </cell>
          <cell r="D144">
            <v>0</v>
          </cell>
          <cell r="E144">
            <v>0</v>
          </cell>
          <cell r="F144">
            <v>49923.92</v>
          </cell>
          <cell r="G144">
            <v>-49923.92</v>
          </cell>
          <cell r="H144">
            <v>-49923.92</v>
          </cell>
        </row>
        <row r="145">
          <cell r="B145" t="str">
            <v>01-10-1000-000-100-46100</v>
          </cell>
          <cell r="C145" t="str">
            <v>Adj-Credit SP Billing - Mgmt Co</v>
          </cell>
          <cell r="D145">
            <v>0</v>
          </cell>
          <cell r="E145">
            <v>0</v>
          </cell>
          <cell r="F145">
            <v>15990.81</v>
          </cell>
          <cell r="G145">
            <v>-15990.81</v>
          </cell>
          <cell r="H145">
            <v>-15990.81</v>
          </cell>
        </row>
        <row r="146">
          <cell r="B146" t="str">
            <v>01-10-1000-000-100-47001</v>
          </cell>
          <cell r="C146" t="str">
            <v>Bad Debt - Mgmt Co</v>
          </cell>
          <cell r="D146">
            <v>0</v>
          </cell>
          <cell r="E146">
            <v>4500000</v>
          </cell>
          <cell r="F146">
            <v>6104217.04</v>
          </cell>
          <cell r="G146">
            <v>-1604217.04</v>
          </cell>
          <cell r="H146">
            <v>-1604217.04</v>
          </cell>
        </row>
        <row r="147">
          <cell r="B147" t="str">
            <v>01-10-1000-000-100-47005</v>
          </cell>
          <cell r="C147" t="str">
            <v>BD-Other Govt - Mgmt Co</v>
          </cell>
          <cell r="D147">
            <v>0</v>
          </cell>
          <cell r="E147">
            <v>40041.480000000003</v>
          </cell>
          <cell r="F147">
            <v>270.66000000000003</v>
          </cell>
          <cell r="G147">
            <v>39770.82</v>
          </cell>
          <cell r="H147">
            <v>39770.82</v>
          </cell>
        </row>
        <row r="148">
          <cell r="B148" t="str">
            <v>01-10-1000-000-100-47015</v>
          </cell>
          <cell r="C148" t="str">
            <v>BD-Mcaid - Mgmt Co</v>
          </cell>
          <cell r="D148">
            <v>0</v>
          </cell>
          <cell r="E148">
            <v>517692.35</v>
          </cell>
          <cell r="F148">
            <v>285.87</v>
          </cell>
          <cell r="G148">
            <v>517406.48</v>
          </cell>
          <cell r="H148">
            <v>517406.48</v>
          </cell>
        </row>
        <row r="149">
          <cell r="B149" t="str">
            <v>01-10-1000-000-100-47020</v>
          </cell>
          <cell r="C149" t="str">
            <v>BD-Mcare - Mgmt Co</v>
          </cell>
          <cell r="D149">
            <v>0</v>
          </cell>
          <cell r="E149">
            <v>280499.53999999998</v>
          </cell>
          <cell r="F149">
            <v>923.3</v>
          </cell>
          <cell r="G149">
            <v>279576.24</v>
          </cell>
          <cell r="H149">
            <v>279576.24</v>
          </cell>
        </row>
        <row r="150">
          <cell r="B150" t="str">
            <v>01-10-1000-000-100-47030</v>
          </cell>
          <cell r="C150" t="str">
            <v>BD-HMO  PPO - Mgmt Co</v>
          </cell>
          <cell r="D150">
            <v>0</v>
          </cell>
          <cell r="E150">
            <v>57749.47</v>
          </cell>
          <cell r="F150">
            <v>226.49</v>
          </cell>
          <cell r="G150">
            <v>57522.98</v>
          </cell>
          <cell r="H150">
            <v>57522.98</v>
          </cell>
        </row>
        <row r="151">
          <cell r="B151" t="str">
            <v>01-10-1000-000-100-47040</v>
          </cell>
          <cell r="C151" t="str">
            <v>BD-Insurance - Mgmt Co</v>
          </cell>
          <cell r="D151">
            <v>0</v>
          </cell>
          <cell r="E151">
            <v>344896.82</v>
          </cell>
          <cell r="F151">
            <v>378.97</v>
          </cell>
          <cell r="G151">
            <v>344517.85</v>
          </cell>
          <cell r="H151">
            <v>344517.85</v>
          </cell>
        </row>
        <row r="152">
          <cell r="B152" t="str">
            <v>01-10-1000-000-100-47050</v>
          </cell>
          <cell r="C152" t="str">
            <v>BD-Free Svcs - Mgmt Co</v>
          </cell>
          <cell r="D152">
            <v>0</v>
          </cell>
          <cell r="E152">
            <v>659549.96</v>
          </cell>
          <cell r="F152">
            <v>268141.90999999997</v>
          </cell>
          <cell r="G152">
            <v>391408.05</v>
          </cell>
          <cell r="H152">
            <v>391408.05</v>
          </cell>
        </row>
        <row r="153">
          <cell r="B153" t="str">
            <v>01-10-1000-000-100-47060</v>
          </cell>
          <cell r="C153" t="str">
            <v>BD-Private - Mgmt Co</v>
          </cell>
          <cell r="D153">
            <v>0</v>
          </cell>
          <cell r="E153">
            <v>6924742.1299999999</v>
          </cell>
          <cell r="F153">
            <v>330853.82</v>
          </cell>
          <cell r="G153">
            <v>6593888.3099999996</v>
          </cell>
          <cell r="H153">
            <v>6593888.3099999996</v>
          </cell>
        </row>
        <row r="154">
          <cell r="B154" t="str">
            <v>01-10-1000-000-100-47100</v>
          </cell>
          <cell r="C154" t="str">
            <v>BD-Sp Billing - Mgmt Co</v>
          </cell>
          <cell r="D154">
            <v>0</v>
          </cell>
          <cell r="E154">
            <v>227017.37</v>
          </cell>
          <cell r="F154">
            <v>1.7</v>
          </cell>
          <cell r="G154">
            <v>227015.67</v>
          </cell>
          <cell r="H154">
            <v>227015.67</v>
          </cell>
        </row>
        <row r="155">
          <cell r="B155" t="str">
            <v>01-10-1000-000-100-48500</v>
          </cell>
          <cell r="C155" t="str">
            <v>Net Collect - Contra - Mgmt Co</v>
          </cell>
          <cell r="D155">
            <v>0</v>
          </cell>
          <cell r="E155">
            <v>122132120.19</v>
          </cell>
          <cell r="F155">
            <v>12690659.060000001</v>
          </cell>
          <cell r="G155">
            <v>109441461.13</v>
          </cell>
          <cell r="H155">
            <v>109441461.13</v>
          </cell>
        </row>
        <row r="156">
          <cell r="B156" t="str">
            <v>01-10-1000-000-100-49015</v>
          </cell>
          <cell r="C156" t="str">
            <v>UPL Undistributed - Mgmt Co</v>
          </cell>
          <cell r="D156">
            <v>0</v>
          </cell>
          <cell r="E156">
            <v>1937807.46</v>
          </cell>
          <cell r="F156">
            <v>4165112.9</v>
          </cell>
          <cell r="G156">
            <v>-2227305.44</v>
          </cell>
          <cell r="H156">
            <v>-2227305.44</v>
          </cell>
        </row>
        <row r="157">
          <cell r="B157" t="str">
            <v>01-10-1000-000-100-49065</v>
          </cell>
          <cell r="C157" t="str">
            <v>SCI Undistributed - Mgmt Co</v>
          </cell>
          <cell r="D157">
            <v>0</v>
          </cell>
          <cell r="E157">
            <v>826028.68</v>
          </cell>
          <cell r="F157">
            <v>826028.68</v>
          </cell>
          <cell r="G157">
            <v>0</v>
          </cell>
          <cell r="H157">
            <v>0</v>
          </cell>
        </row>
        <row r="158">
          <cell r="B158" t="str">
            <v>01-10-1000-000-100-49500</v>
          </cell>
          <cell r="C158" t="str">
            <v>Miscellaneous Income-Mgmt Co</v>
          </cell>
          <cell r="D158">
            <v>0</v>
          </cell>
          <cell r="E158">
            <v>1694.9</v>
          </cell>
          <cell r="F158">
            <v>1694.9</v>
          </cell>
          <cell r="G158">
            <v>0</v>
          </cell>
          <cell r="H158">
            <v>0</v>
          </cell>
        </row>
        <row r="159">
          <cell r="B159" t="str">
            <v>01-10-1000-000-100-49505</v>
          </cell>
          <cell r="C159" t="str">
            <v>Cancer Center Mgmt Fee</v>
          </cell>
          <cell r="D159">
            <v>0</v>
          </cell>
          <cell r="E159">
            <v>302229.96000000002</v>
          </cell>
          <cell r="F159">
            <v>302229.96000000002</v>
          </cell>
          <cell r="G159">
            <v>0</v>
          </cell>
          <cell r="H159">
            <v>0</v>
          </cell>
        </row>
        <row r="160">
          <cell r="B160" t="str">
            <v>01-10-1000-000-100-49506</v>
          </cell>
          <cell r="C160" t="str">
            <v>Central Admin Misc Income-Mgmt Co</v>
          </cell>
          <cell r="D160">
            <v>0</v>
          </cell>
          <cell r="E160">
            <v>0</v>
          </cell>
          <cell r="F160">
            <v>4830</v>
          </cell>
          <cell r="G160">
            <v>-4830</v>
          </cell>
          <cell r="H160">
            <v>-4830</v>
          </cell>
        </row>
        <row r="161">
          <cell r="B161" t="str">
            <v>01-10-1000-000-100-49900</v>
          </cell>
          <cell r="C161" t="str">
            <v>Unbilled TES Revenue-Mgmt Cc</v>
          </cell>
          <cell r="D161">
            <v>0</v>
          </cell>
          <cell r="E161">
            <v>712424.5</v>
          </cell>
          <cell r="F161">
            <v>717439.5</v>
          </cell>
          <cell r="G161">
            <v>-5015</v>
          </cell>
          <cell r="H161">
            <v>-5015</v>
          </cell>
        </row>
        <row r="162">
          <cell r="B162" t="str">
            <v>01-10-1000-000-100-50005</v>
          </cell>
          <cell r="C162" t="str">
            <v>Purchase Svcs - Mgmt Co</v>
          </cell>
          <cell r="D162">
            <v>0</v>
          </cell>
          <cell r="E162">
            <v>1081189</v>
          </cell>
          <cell r="F162">
            <v>0</v>
          </cell>
          <cell r="G162">
            <v>1081189</v>
          </cell>
          <cell r="H162">
            <v>1081189</v>
          </cell>
        </row>
        <row r="163">
          <cell r="B163" t="str">
            <v>01-10-1000-000-100-60005</v>
          </cell>
          <cell r="C163" t="str">
            <v>Salaries-Dir Mgr - Mgmt Co</v>
          </cell>
          <cell r="D163">
            <v>0</v>
          </cell>
          <cell r="E163">
            <v>27582.5</v>
          </cell>
          <cell r="F163">
            <v>27582.5</v>
          </cell>
          <cell r="G163">
            <v>0</v>
          </cell>
          <cell r="H163">
            <v>0</v>
          </cell>
        </row>
        <row r="164">
          <cell r="B164" t="str">
            <v>01-10-1000-000-100-60015</v>
          </cell>
          <cell r="C164" t="str">
            <v>Salaries-Technical - Mgmt Co</v>
          </cell>
          <cell r="D164">
            <v>0</v>
          </cell>
          <cell r="E164">
            <v>15000</v>
          </cell>
          <cell r="F164">
            <v>15000</v>
          </cell>
          <cell r="G164">
            <v>0</v>
          </cell>
          <cell r="H164">
            <v>0</v>
          </cell>
        </row>
        <row r="165">
          <cell r="B165" t="str">
            <v>01-10-1000-000-100-60070</v>
          </cell>
          <cell r="C165" t="str">
            <v>Contract Labor - Mgmt Co</v>
          </cell>
          <cell r="D165">
            <v>0</v>
          </cell>
          <cell r="E165">
            <v>84714</v>
          </cell>
          <cell r="F165">
            <v>84714</v>
          </cell>
          <cell r="G165">
            <v>0</v>
          </cell>
          <cell r="H165">
            <v>0</v>
          </cell>
        </row>
        <row r="166">
          <cell r="B166" t="str">
            <v>01-10-1000-000-100-63300</v>
          </cell>
          <cell r="C166" t="str">
            <v>Bonus Expense - Mgmt Co</v>
          </cell>
          <cell r="D166">
            <v>0</v>
          </cell>
          <cell r="E166">
            <v>100876</v>
          </cell>
          <cell r="F166">
            <v>31000</v>
          </cell>
          <cell r="G166">
            <v>69876</v>
          </cell>
          <cell r="H166">
            <v>69876</v>
          </cell>
        </row>
        <row r="167">
          <cell r="B167" t="str">
            <v>01-10-1000-000-100-64000</v>
          </cell>
          <cell r="C167" t="str">
            <v>Bill UH-Salaries - Mgmt Co</v>
          </cell>
          <cell r="D167">
            <v>0</v>
          </cell>
          <cell r="E167">
            <v>166487.47</v>
          </cell>
          <cell r="F167">
            <v>166487.47</v>
          </cell>
          <cell r="G167">
            <v>0</v>
          </cell>
          <cell r="H167">
            <v>0</v>
          </cell>
        </row>
        <row r="168">
          <cell r="B168" t="str">
            <v>01-10-1000-000-100-64010</v>
          </cell>
          <cell r="C168" t="str">
            <v>Billed to UNM Salaries - Mgmt Co</v>
          </cell>
          <cell r="D168">
            <v>0</v>
          </cell>
          <cell r="E168">
            <v>15896.94</v>
          </cell>
          <cell r="F168">
            <v>15896.94</v>
          </cell>
          <cell r="G168">
            <v>0</v>
          </cell>
          <cell r="H168">
            <v>0</v>
          </cell>
        </row>
        <row r="169">
          <cell r="B169" t="str">
            <v>01-10-1000-000-100-64055</v>
          </cell>
          <cell r="C169" t="str">
            <v>Employee Benefits UNMMG - Mtg</v>
          </cell>
          <cell r="D169">
            <v>0</v>
          </cell>
          <cell r="E169">
            <v>22712.67</v>
          </cell>
          <cell r="F169">
            <v>18792.82</v>
          </cell>
          <cell r="G169">
            <v>3919.85</v>
          </cell>
          <cell r="H169">
            <v>3919.85</v>
          </cell>
        </row>
        <row r="170">
          <cell r="B170" t="str">
            <v>01-10-1000-000-100-65005</v>
          </cell>
          <cell r="C170" t="str">
            <v>Emp Benefits-STD - Mgmt Co</v>
          </cell>
          <cell r="D170">
            <v>0</v>
          </cell>
          <cell r="E170">
            <v>1640.6</v>
          </cell>
          <cell r="F170">
            <v>93</v>
          </cell>
          <cell r="G170">
            <v>1547.6</v>
          </cell>
          <cell r="H170">
            <v>1547.6</v>
          </cell>
        </row>
        <row r="171">
          <cell r="B171" t="str">
            <v>01-10-1000-000-100-65008</v>
          </cell>
          <cell r="C171" t="str">
            <v>Emp Benefits-Tuition - Mgmt Co</v>
          </cell>
          <cell r="D171">
            <v>0</v>
          </cell>
          <cell r="E171">
            <v>3660</v>
          </cell>
          <cell r="F171">
            <v>3660</v>
          </cell>
          <cell r="G171">
            <v>0</v>
          </cell>
          <cell r="H171">
            <v>0</v>
          </cell>
        </row>
        <row r="172">
          <cell r="B172" t="str">
            <v>01-10-1000-000-100-67025</v>
          </cell>
          <cell r="C172" t="str">
            <v>ER 403(b) - Mgmt Co</v>
          </cell>
          <cell r="D172">
            <v>0</v>
          </cell>
          <cell r="E172">
            <v>341816.29</v>
          </cell>
          <cell r="F172">
            <v>235598.12</v>
          </cell>
          <cell r="G172">
            <v>106218.17</v>
          </cell>
          <cell r="H172">
            <v>106218.17</v>
          </cell>
        </row>
        <row r="173">
          <cell r="B173" t="str">
            <v>01-10-1000-000-100-67030</v>
          </cell>
          <cell r="C173" t="str">
            <v>ER Hlth Dental &amp; Vision - Mgmt Co</v>
          </cell>
          <cell r="D173">
            <v>0</v>
          </cell>
          <cell r="E173">
            <v>1370.12</v>
          </cell>
          <cell r="F173">
            <v>1370.12</v>
          </cell>
          <cell r="G173">
            <v>0</v>
          </cell>
          <cell r="H173">
            <v>0</v>
          </cell>
        </row>
        <row r="174">
          <cell r="B174" t="str">
            <v>01-10-1000-000-100-67100</v>
          </cell>
          <cell r="C174" t="str">
            <v>ER Fica_Mcare - Mgmt Co</v>
          </cell>
          <cell r="D174">
            <v>0</v>
          </cell>
          <cell r="E174">
            <v>2005.76</v>
          </cell>
          <cell r="F174">
            <v>2348.75</v>
          </cell>
          <cell r="G174">
            <v>-342.99</v>
          </cell>
          <cell r="H174">
            <v>-342.99</v>
          </cell>
        </row>
        <row r="175">
          <cell r="B175" t="str">
            <v>01-10-1000-000-100-67105</v>
          </cell>
          <cell r="C175" t="str">
            <v>ER FUI - Mgmt Co</v>
          </cell>
          <cell r="D175">
            <v>0</v>
          </cell>
          <cell r="E175">
            <v>0</v>
          </cell>
          <cell r="F175">
            <v>10528.48</v>
          </cell>
          <cell r="G175">
            <v>-10528.48</v>
          </cell>
          <cell r="H175">
            <v>-10528.48</v>
          </cell>
        </row>
        <row r="176">
          <cell r="B176" t="str">
            <v>01-10-1000-000-100-67120</v>
          </cell>
          <cell r="C176" t="str">
            <v>Worker's Comp Fee - Mgmt Co</v>
          </cell>
          <cell r="D176">
            <v>0</v>
          </cell>
          <cell r="E176">
            <v>1527.2</v>
          </cell>
          <cell r="F176">
            <v>92</v>
          </cell>
          <cell r="G176">
            <v>1435.2</v>
          </cell>
          <cell r="H176">
            <v>1435.2</v>
          </cell>
        </row>
        <row r="177">
          <cell r="B177" t="str">
            <v>01-10-1000-000-100-70005</v>
          </cell>
          <cell r="C177" t="str">
            <v>Advertising - Mgmt Co</v>
          </cell>
          <cell r="D177">
            <v>0</v>
          </cell>
          <cell r="E177">
            <v>75279.5</v>
          </cell>
          <cell r="F177">
            <v>48155.34</v>
          </cell>
          <cell r="G177">
            <v>27124.16</v>
          </cell>
          <cell r="H177">
            <v>27124.16</v>
          </cell>
        </row>
        <row r="178">
          <cell r="B178" t="str">
            <v>01-10-1000-000-100-70010</v>
          </cell>
          <cell r="C178" t="str">
            <v>Auto - Mgmt Co</v>
          </cell>
          <cell r="D178">
            <v>0</v>
          </cell>
          <cell r="E178">
            <v>2154.4299999999998</v>
          </cell>
          <cell r="F178">
            <v>0</v>
          </cell>
          <cell r="G178">
            <v>2154.4299999999998</v>
          </cell>
          <cell r="H178">
            <v>2154.4299999999998</v>
          </cell>
        </row>
        <row r="179">
          <cell r="B179" t="str">
            <v>01-10-1000-000-100-70015</v>
          </cell>
          <cell r="C179" t="str">
            <v>Bank Svcs Chgs - Mgmt Co</v>
          </cell>
          <cell r="D179">
            <v>0</v>
          </cell>
          <cell r="E179">
            <v>9740.0499999999993</v>
          </cell>
          <cell r="F179">
            <v>9739.49</v>
          </cell>
          <cell r="G179">
            <v>0.56000000000000005</v>
          </cell>
          <cell r="H179">
            <v>0.56000000000000005</v>
          </cell>
        </row>
        <row r="180">
          <cell r="B180" t="str">
            <v>01-10-1000-000-100-70025</v>
          </cell>
          <cell r="C180" t="str">
            <v>Books &amp; Publications - Mgmt Co</v>
          </cell>
          <cell r="D180">
            <v>0</v>
          </cell>
          <cell r="E180">
            <v>1109.21</v>
          </cell>
          <cell r="F180">
            <v>1000</v>
          </cell>
          <cell r="G180">
            <v>109.21</v>
          </cell>
          <cell r="H180">
            <v>109.21</v>
          </cell>
        </row>
        <row r="181">
          <cell r="B181" t="str">
            <v>01-10-1000-000-100-70026</v>
          </cell>
          <cell r="C181" t="str">
            <v>Contigency-Mgmt Co</v>
          </cell>
          <cell r="D181">
            <v>0</v>
          </cell>
          <cell r="E181">
            <v>1515138.04</v>
          </cell>
          <cell r="F181">
            <v>1515138.04</v>
          </cell>
          <cell r="G181">
            <v>0</v>
          </cell>
          <cell r="H181">
            <v>0</v>
          </cell>
        </row>
        <row r="182">
          <cell r="B182" t="str">
            <v>01-10-1000-000-100-70028</v>
          </cell>
          <cell r="C182" t="str">
            <v>Copier - Mgmt Co</v>
          </cell>
          <cell r="D182">
            <v>0</v>
          </cell>
          <cell r="E182">
            <v>184840.94</v>
          </cell>
          <cell r="F182">
            <v>184840.94</v>
          </cell>
          <cell r="G182">
            <v>0</v>
          </cell>
          <cell r="H182">
            <v>0</v>
          </cell>
        </row>
        <row r="183">
          <cell r="B183" t="str">
            <v>01-10-1000-000-100-70030</v>
          </cell>
          <cell r="C183" t="str">
            <v>Dues &amp; Memberships - Mgmt Co</v>
          </cell>
          <cell r="D183">
            <v>0</v>
          </cell>
          <cell r="E183">
            <v>1492</v>
          </cell>
          <cell r="F183">
            <v>365</v>
          </cell>
          <cell r="G183">
            <v>1127</v>
          </cell>
          <cell r="H183">
            <v>1127</v>
          </cell>
        </row>
        <row r="184">
          <cell r="B184" t="str">
            <v>01-10-1000-000-100-70035</v>
          </cell>
          <cell r="C184" t="str">
            <v>Insurance Commercial - Mgmt Co</v>
          </cell>
          <cell r="D184">
            <v>0</v>
          </cell>
          <cell r="E184">
            <v>80188.09</v>
          </cell>
          <cell r="F184">
            <v>39759.47</v>
          </cell>
          <cell r="G184">
            <v>40428.620000000003</v>
          </cell>
          <cell r="H184">
            <v>40428.620000000003</v>
          </cell>
        </row>
        <row r="185">
          <cell r="B185" t="str">
            <v>01-10-1000-000-100-70038</v>
          </cell>
          <cell r="C185" t="str">
            <v>Legal - Mgmt Co</v>
          </cell>
          <cell r="D185">
            <v>0</v>
          </cell>
          <cell r="E185">
            <v>1151.25</v>
          </cell>
          <cell r="F185">
            <v>1151.25</v>
          </cell>
          <cell r="G185">
            <v>0</v>
          </cell>
          <cell r="H185">
            <v>0</v>
          </cell>
        </row>
        <row r="186">
          <cell r="B186" t="str">
            <v>01-10-1000-000-100-70039</v>
          </cell>
          <cell r="C186" t="str">
            <v>Licenses &amp; Fees - Mgmt Co</v>
          </cell>
          <cell r="D186">
            <v>0</v>
          </cell>
          <cell r="E186">
            <v>107.5</v>
          </cell>
          <cell r="F186">
            <v>25</v>
          </cell>
          <cell r="G186">
            <v>82.5</v>
          </cell>
          <cell r="H186">
            <v>82.5</v>
          </cell>
        </row>
        <row r="187">
          <cell r="B187" t="str">
            <v>01-10-1000-000-100-70040</v>
          </cell>
          <cell r="C187" t="str">
            <v>Materials &amp; Services - Mgmt Co</v>
          </cell>
          <cell r="D187">
            <v>0</v>
          </cell>
          <cell r="E187">
            <v>66353.039999999994</v>
          </cell>
          <cell r="F187">
            <v>50608.28</v>
          </cell>
          <cell r="G187">
            <v>15744.76</v>
          </cell>
          <cell r="H187">
            <v>15744.76</v>
          </cell>
        </row>
        <row r="188">
          <cell r="B188" t="str">
            <v>01-10-1000-000-100-70045</v>
          </cell>
          <cell r="C188" t="str">
            <v>Meetings &amp; Conferences-Mgmt Co</v>
          </cell>
          <cell r="D188">
            <v>0</v>
          </cell>
          <cell r="E188">
            <v>5301.91</v>
          </cell>
          <cell r="F188">
            <v>0</v>
          </cell>
          <cell r="G188">
            <v>5301.91</v>
          </cell>
          <cell r="H188">
            <v>5301.91</v>
          </cell>
        </row>
        <row r="189">
          <cell r="B189" t="str">
            <v>01-10-1000-000-100-70050</v>
          </cell>
          <cell r="C189" t="str">
            <v>Payroll &amp; HR Fees  - Mgmt Co</v>
          </cell>
          <cell r="D189">
            <v>0</v>
          </cell>
          <cell r="E189">
            <v>2250</v>
          </cell>
          <cell r="F189">
            <v>2250</v>
          </cell>
          <cell r="G189">
            <v>0</v>
          </cell>
          <cell r="H189">
            <v>0</v>
          </cell>
        </row>
        <row r="190">
          <cell r="B190" t="str">
            <v>01-10-1000-000-100-70055</v>
          </cell>
          <cell r="C190" t="str">
            <v>Postage &amp; Shipping - Mgmt Co</v>
          </cell>
          <cell r="D190">
            <v>0</v>
          </cell>
          <cell r="E190">
            <v>1811.58</v>
          </cell>
          <cell r="F190">
            <v>1800</v>
          </cell>
          <cell r="G190">
            <v>11.58</v>
          </cell>
          <cell r="H190">
            <v>11.58</v>
          </cell>
        </row>
        <row r="191">
          <cell r="B191" t="str">
            <v>01-10-1000-000-100-70060</v>
          </cell>
          <cell r="C191" t="str">
            <v>Printing - Mgmt Co</v>
          </cell>
          <cell r="D191">
            <v>0</v>
          </cell>
          <cell r="E191">
            <v>2361.7600000000002</v>
          </cell>
          <cell r="F191">
            <v>2361.7600000000002</v>
          </cell>
          <cell r="G191">
            <v>0</v>
          </cell>
          <cell r="H191">
            <v>0</v>
          </cell>
        </row>
        <row r="192">
          <cell r="B192" t="str">
            <v>01-10-1000-000-100-70075</v>
          </cell>
          <cell r="C192" t="str">
            <v>Staff Dev - Mgmt Co</v>
          </cell>
          <cell r="D192">
            <v>0</v>
          </cell>
          <cell r="E192">
            <v>3000</v>
          </cell>
          <cell r="F192">
            <v>3000</v>
          </cell>
          <cell r="G192">
            <v>0</v>
          </cell>
          <cell r="H192">
            <v>0</v>
          </cell>
        </row>
        <row r="193">
          <cell r="B193" t="str">
            <v>01-10-1000-000-100-70095</v>
          </cell>
          <cell r="C193" t="str">
            <v>Mileage - Mgmt Co</v>
          </cell>
          <cell r="D193">
            <v>0</v>
          </cell>
          <cell r="E193">
            <v>3000</v>
          </cell>
          <cell r="F193">
            <v>0</v>
          </cell>
          <cell r="G193">
            <v>3000</v>
          </cell>
          <cell r="H193">
            <v>3000</v>
          </cell>
        </row>
        <row r="194">
          <cell r="B194" t="str">
            <v>01-10-1000-000-100-70100</v>
          </cell>
          <cell r="C194" t="str">
            <v>Office Supplies - Mgmt Co</v>
          </cell>
          <cell r="D194">
            <v>0</v>
          </cell>
          <cell r="E194">
            <v>43035.27</v>
          </cell>
          <cell r="F194">
            <v>42969.96</v>
          </cell>
          <cell r="G194">
            <v>65.31</v>
          </cell>
          <cell r="H194">
            <v>65.31</v>
          </cell>
        </row>
        <row r="195">
          <cell r="B195" t="str">
            <v>01-10-1000-000-100-70410</v>
          </cell>
          <cell r="C195" t="str">
            <v>Computer  Costs - Mgmt Co</v>
          </cell>
          <cell r="D195">
            <v>0</v>
          </cell>
          <cell r="E195">
            <v>618.04999999999995</v>
          </cell>
          <cell r="F195">
            <v>94</v>
          </cell>
          <cell r="G195">
            <v>524.04999999999995</v>
          </cell>
          <cell r="H195">
            <v>524.04999999999995</v>
          </cell>
        </row>
        <row r="196">
          <cell r="B196" t="str">
            <v>01-10-1000-000-100-70420</v>
          </cell>
          <cell r="C196" t="str">
            <v>Software Subscript &amp; Mntnce - Mgmt Co</v>
          </cell>
          <cell r="D196">
            <v>0</v>
          </cell>
          <cell r="E196">
            <v>44403</v>
          </cell>
          <cell r="F196">
            <v>31492.84</v>
          </cell>
          <cell r="G196">
            <v>12910.16</v>
          </cell>
          <cell r="H196">
            <v>12910.16</v>
          </cell>
        </row>
        <row r="197">
          <cell r="B197" t="str">
            <v>01-10-1000-000-100-70500</v>
          </cell>
          <cell r="C197" t="str">
            <v>Consultants - Mgmt Co</v>
          </cell>
          <cell r="D197">
            <v>0</v>
          </cell>
          <cell r="E197">
            <v>406139.02</v>
          </cell>
          <cell r="F197">
            <v>406139.02</v>
          </cell>
          <cell r="G197">
            <v>0</v>
          </cell>
          <cell r="H197">
            <v>0</v>
          </cell>
        </row>
        <row r="198">
          <cell r="B198" t="str">
            <v>01-10-1000-000-100-70510</v>
          </cell>
          <cell r="C198" t="str">
            <v>Other Contract Svcs - Mgmt Co</v>
          </cell>
          <cell r="D198">
            <v>0</v>
          </cell>
          <cell r="E198">
            <v>3547.05</v>
          </cell>
          <cell r="F198">
            <v>0</v>
          </cell>
          <cell r="G198">
            <v>3547.05</v>
          </cell>
          <cell r="H198">
            <v>3547.05</v>
          </cell>
        </row>
        <row r="199">
          <cell r="B199" t="str">
            <v>01-10-1000-000-100-70520</v>
          </cell>
          <cell r="C199" t="str">
            <v>Courier - Mgmt Co</v>
          </cell>
          <cell r="D199">
            <v>0</v>
          </cell>
          <cell r="E199">
            <v>96270.33</v>
          </cell>
          <cell r="F199">
            <v>19738.86</v>
          </cell>
          <cell r="G199">
            <v>76531.47</v>
          </cell>
          <cell r="H199">
            <v>76531.47</v>
          </cell>
        </row>
        <row r="200">
          <cell r="B200" t="str">
            <v>01-10-1000-000-100-70550</v>
          </cell>
          <cell r="C200" t="str">
            <v>Furn Fix &amp; Remodel - Mgmt Co</v>
          </cell>
          <cell r="D200">
            <v>0</v>
          </cell>
          <cell r="E200">
            <v>1656.39</v>
          </cell>
          <cell r="F200">
            <v>0</v>
          </cell>
          <cell r="G200">
            <v>1656.39</v>
          </cell>
          <cell r="H200">
            <v>1656.39</v>
          </cell>
        </row>
        <row r="201">
          <cell r="B201" t="str">
            <v>01-10-1000-000-100-71005</v>
          </cell>
          <cell r="C201" t="str">
            <v>Space Rent - Mgmt Co</v>
          </cell>
          <cell r="D201">
            <v>0</v>
          </cell>
          <cell r="E201">
            <v>460588.98</v>
          </cell>
          <cell r="F201">
            <v>1633.92</v>
          </cell>
          <cell r="G201">
            <v>458955.06</v>
          </cell>
          <cell r="H201">
            <v>458955.06</v>
          </cell>
        </row>
        <row r="202">
          <cell r="B202" t="str">
            <v>01-10-1000-000-100-71020</v>
          </cell>
          <cell r="C202" t="str">
            <v>Storage - Mgmt Co</v>
          </cell>
          <cell r="D202">
            <v>0</v>
          </cell>
          <cell r="E202">
            <v>30558.35</v>
          </cell>
          <cell r="F202">
            <v>15183.35</v>
          </cell>
          <cell r="G202">
            <v>15375</v>
          </cell>
          <cell r="H202">
            <v>15375</v>
          </cell>
        </row>
        <row r="203">
          <cell r="B203" t="str">
            <v>01-10-1000-000-100-72030</v>
          </cell>
          <cell r="C203" t="str">
            <v>Recycling - Mgmt Co</v>
          </cell>
          <cell r="D203">
            <v>0</v>
          </cell>
          <cell r="E203">
            <v>13809.37</v>
          </cell>
          <cell r="F203">
            <v>13809.37</v>
          </cell>
          <cell r="G203">
            <v>0</v>
          </cell>
          <cell r="H203">
            <v>0</v>
          </cell>
        </row>
        <row r="204">
          <cell r="B204" t="str">
            <v>01-10-1000-000-100-72035</v>
          </cell>
          <cell r="C204" t="str">
            <v>Phone - Mgmt Co</v>
          </cell>
          <cell r="D204">
            <v>0</v>
          </cell>
          <cell r="E204">
            <v>7010.81</v>
          </cell>
          <cell r="F204">
            <v>0</v>
          </cell>
          <cell r="G204">
            <v>7010.81</v>
          </cell>
          <cell r="H204">
            <v>7010.81</v>
          </cell>
        </row>
        <row r="205">
          <cell r="B205" t="str">
            <v>01-10-1000-000-100-72040</v>
          </cell>
          <cell r="C205" t="str">
            <v>Water - Mgmt Co</v>
          </cell>
          <cell r="D205">
            <v>0</v>
          </cell>
          <cell r="E205">
            <v>4795</v>
          </cell>
          <cell r="F205">
            <v>4795</v>
          </cell>
          <cell r="G205">
            <v>0</v>
          </cell>
          <cell r="H205">
            <v>0</v>
          </cell>
        </row>
        <row r="206">
          <cell r="B206" t="str">
            <v>01-10-1000-000-100-75001</v>
          </cell>
          <cell r="C206" t="str">
            <v>Billed to UNM for Account-Mgmt Co</v>
          </cell>
          <cell r="D206">
            <v>0</v>
          </cell>
          <cell r="E206">
            <v>0</v>
          </cell>
          <cell r="F206">
            <v>795.28</v>
          </cell>
          <cell r="G206">
            <v>-795.28</v>
          </cell>
          <cell r="H206">
            <v>-795.28</v>
          </cell>
        </row>
        <row r="207">
          <cell r="B207" t="str">
            <v>01-10-1000-000-100-75010</v>
          </cell>
          <cell r="C207" t="str">
            <v>UH Reimb-Gap - Mgmt Co</v>
          </cell>
          <cell r="D207">
            <v>0</v>
          </cell>
          <cell r="E207">
            <v>0</v>
          </cell>
          <cell r="F207">
            <v>952890.96</v>
          </cell>
          <cell r="G207">
            <v>-952890.96</v>
          </cell>
          <cell r="H207">
            <v>-952890.96</v>
          </cell>
        </row>
        <row r="208">
          <cell r="B208" t="str">
            <v>01-10-1000-000-100-75012</v>
          </cell>
          <cell r="C208" t="str">
            <v>Billed to UH-Svcs - Mgmt Co</v>
          </cell>
          <cell r="D208">
            <v>0</v>
          </cell>
          <cell r="E208">
            <v>18208.650000000001</v>
          </cell>
          <cell r="F208">
            <v>80338.91</v>
          </cell>
          <cell r="G208">
            <v>-62130.26</v>
          </cell>
          <cell r="H208">
            <v>-62130.26</v>
          </cell>
        </row>
        <row r="209">
          <cell r="B209" t="str">
            <v>01-10-1000-000-100-75013</v>
          </cell>
          <cell r="C209" t="str">
            <v>Billed From UH-Svcs-Mgmt Co</v>
          </cell>
          <cell r="D209">
            <v>0</v>
          </cell>
          <cell r="E209">
            <v>84770.16</v>
          </cell>
          <cell r="F209">
            <v>70492.84</v>
          </cell>
          <cell r="G209">
            <v>14277.32</v>
          </cell>
          <cell r="H209">
            <v>14277.32</v>
          </cell>
        </row>
        <row r="210">
          <cell r="B210" t="str">
            <v>01-10-1000-000-100-75020</v>
          </cell>
          <cell r="C210" t="str">
            <v>Settlements - Mgmt Co</v>
          </cell>
          <cell r="D210">
            <v>0</v>
          </cell>
          <cell r="E210">
            <v>400000</v>
          </cell>
          <cell r="F210">
            <v>442000</v>
          </cell>
          <cell r="G210">
            <v>-42000</v>
          </cell>
          <cell r="H210">
            <v>-42000</v>
          </cell>
        </row>
        <row r="211">
          <cell r="B211" t="str">
            <v>01-10-1000-000-100-75500</v>
          </cell>
          <cell r="C211" t="str">
            <v>Malpractice UH Reim - Mgmt Co</v>
          </cell>
          <cell r="D211">
            <v>0</v>
          </cell>
          <cell r="E211">
            <v>1800886.69</v>
          </cell>
          <cell r="F211">
            <v>2300887.0299999998</v>
          </cell>
          <cell r="G211">
            <v>-500000.34</v>
          </cell>
          <cell r="H211">
            <v>-500000.34</v>
          </cell>
        </row>
        <row r="212">
          <cell r="B212" t="str">
            <v>01-10-1000-000-100-80005</v>
          </cell>
          <cell r="C212" t="str">
            <v>Interest Income-Mgmt Co</v>
          </cell>
          <cell r="D212">
            <v>0</v>
          </cell>
          <cell r="E212">
            <v>76101.289999999994</v>
          </cell>
          <cell r="F212">
            <v>76101.289999999994</v>
          </cell>
          <cell r="G212">
            <v>0</v>
          </cell>
          <cell r="H212">
            <v>0</v>
          </cell>
        </row>
        <row r="213">
          <cell r="B213" t="str">
            <v>01-10-1000-000-100-80010</v>
          </cell>
          <cell r="C213" t="str">
            <v>Undistributed Interest Income-Mgmt Co</v>
          </cell>
          <cell r="D213">
            <v>0</v>
          </cell>
          <cell r="E213">
            <v>31960</v>
          </cell>
          <cell r="F213">
            <v>31960</v>
          </cell>
          <cell r="G213">
            <v>0</v>
          </cell>
          <cell r="H213">
            <v>0</v>
          </cell>
        </row>
        <row r="214">
          <cell r="B214" t="str">
            <v>01-10-1000-000-100-80015</v>
          </cell>
          <cell r="C214" t="str">
            <v>Undistributed Investment Income-Mgmt Co</v>
          </cell>
          <cell r="D214">
            <v>0</v>
          </cell>
          <cell r="E214">
            <v>37452.81</v>
          </cell>
          <cell r="F214">
            <v>152755.22</v>
          </cell>
          <cell r="G214">
            <v>-115302.41</v>
          </cell>
          <cell r="H214">
            <v>-115302.41</v>
          </cell>
        </row>
        <row r="215">
          <cell r="B215" t="str">
            <v>01-10-1000-000-100-80020</v>
          </cell>
          <cell r="C215" t="str">
            <v>Clinic Allocation Gain/Loss -Mgmt</v>
          </cell>
          <cell r="D215">
            <v>0</v>
          </cell>
          <cell r="E215">
            <v>1272938</v>
          </cell>
          <cell r="F215">
            <v>393865</v>
          </cell>
          <cell r="G215">
            <v>879073</v>
          </cell>
          <cell r="H215">
            <v>879073</v>
          </cell>
        </row>
        <row r="216">
          <cell r="B216" t="str">
            <v>01-10-1000-000-100-80100</v>
          </cell>
          <cell r="C216" t="str">
            <v>Depreciation Exp - Mgmt Co</v>
          </cell>
          <cell r="D216">
            <v>0</v>
          </cell>
          <cell r="E216">
            <v>606326.91</v>
          </cell>
          <cell r="F216">
            <v>127665.52</v>
          </cell>
          <cell r="G216">
            <v>478661.39</v>
          </cell>
          <cell r="H216">
            <v>478661.39</v>
          </cell>
        </row>
        <row r="217">
          <cell r="B217" t="str">
            <v>01-10-1000-000-100-81000</v>
          </cell>
          <cell r="C217" t="str">
            <v>Gain Loss Disp-Mgmt Co</v>
          </cell>
          <cell r="D217">
            <v>0</v>
          </cell>
          <cell r="E217">
            <v>7559.43</v>
          </cell>
          <cell r="F217">
            <v>6467.18</v>
          </cell>
          <cell r="G217">
            <v>1092.25</v>
          </cell>
          <cell r="H217">
            <v>1092.25</v>
          </cell>
        </row>
        <row r="218">
          <cell r="B218" t="str">
            <v>01-10-1000-000-100-98005</v>
          </cell>
          <cell r="C218" t="str">
            <v>FTEs-Dir Mgr-UNMMG-Mgmt Co</v>
          </cell>
          <cell r="D218">
            <v>0</v>
          </cell>
          <cell r="E218">
            <v>1</v>
          </cell>
          <cell r="F218">
            <v>1</v>
          </cell>
          <cell r="G218">
            <v>0</v>
          </cell>
          <cell r="H218">
            <v>0</v>
          </cell>
        </row>
        <row r="219">
          <cell r="B219" t="str">
            <v>01-10-1000-000-300-43400</v>
          </cell>
          <cell r="C219" t="str">
            <v>C/A - Locum Tenens</v>
          </cell>
          <cell r="D219">
            <v>0</v>
          </cell>
          <cell r="E219">
            <v>332768</v>
          </cell>
          <cell r="F219">
            <v>332768</v>
          </cell>
          <cell r="G219">
            <v>0</v>
          </cell>
          <cell r="H219">
            <v>0</v>
          </cell>
        </row>
        <row r="220">
          <cell r="B220" t="str">
            <v>01-10-1020-000-000-35010</v>
          </cell>
          <cell r="C220" t="str">
            <v>Prior Yr Fund Balance-Admin</v>
          </cell>
          <cell r="D220">
            <v>0</v>
          </cell>
          <cell r="E220">
            <v>473771.99</v>
          </cell>
          <cell r="F220">
            <v>0</v>
          </cell>
          <cell r="G220">
            <v>473771.99</v>
          </cell>
          <cell r="H220">
            <v>473771.99</v>
          </cell>
        </row>
        <row r="221">
          <cell r="B221" t="str">
            <v>01-10-1020-000-100-60005</v>
          </cell>
          <cell r="C221" t="str">
            <v>Salaries-Dir Mgr - Admin</v>
          </cell>
          <cell r="D221">
            <v>0</v>
          </cell>
          <cell r="E221">
            <v>286368.73</v>
          </cell>
          <cell r="F221">
            <v>17634</v>
          </cell>
          <cell r="G221">
            <v>268734.73</v>
          </cell>
          <cell r="H221">
            <v>268734.73</v>
          </cell>
        </row>
        <row r="222">
          <cell r="B222" t="str">
            <v>01-10-1020-000-100-60013</v>
          </cell>
          <cell r="C222" t="str">
            <v>Salaries-Prof - Admin</v>
          </cell>
          <cell r="D222">
            <v>0</v>
          </cell>
          <cell r="E222">
            <v>87407.59</v>
          </cell>
          <cell r="F222">
            <v>0</v>
          </cell>
          <cell r="G222">
            <v>87407.59</v>
          </cell>
          <cell r="H222">
            <v>87407.59</v>
          </cell>
        </row>
        <row r="223">
          <cell r="B223" t="str">
            <v>01-10-1020-000-100-60018</v>
          </cell>
          <cell r="C223" t="str">
            <v>Salaries-Clerical - Admin</v>
          </cell>
          <cell r="D223">
            <v>0</v>
          </cell>
          <cell r="E223">
            <v>32966.639999999999</v>
          </cell>
          <cell r="F223">
            <v>0</v>
          </cell>
          <cell r="G223">
            <v>32966.639999999999</v>
          </cell>
          <cell r="H223">
            <v>32966.639999999999</v>
          </cell>
        </row>
        <row r="224">
          <cell r="B224" t="str">
            <v>01-10-1020-000-100-63300</v>
          </cell>
          <cell r="C224" t="str">
            <v>Bonus Expense - Admin</v>
          </cell>
          <cell r="D224">
            <v>0</v>
          </cell>
          <cell r="E224">
            <v>29809</v>
          </cell>
          <cell r="F224">
            <v>14306</v>
          </cell>
          <cell r="G224">
            <v>15503</v>
          </cell>
          <cell r="H224">
            <v>15503</v>
          </cell>
        </row>
        <row r="225">
          <cell r="B225" t="str">
            <v>01-10-1020-000-100-64050</v>
          </cell>
          <cell r="C225" t="str">
            <v>Emp Benefits-UNM - Admin</v>
          </cell>
          <cell r="D225">
            <v>0</v>
          </cell>
          <cell r="E225">
            <v>18843.599999999999</v>
          </cell>
          <cell r="F225">
            <v>0</v>
          </cell>
          <cell r="G225">
            <v>18843.599999999999</v>
          </cell>
          <cell r="H225">
            <v>18843.599999999999</v>
          </cell>
        </row>
        <row r="226">
          <cell r="B226" t="str">
            <v>01-10-1020-000-100-64055</v>
          </cell>
          <cell r="C226" t="str">
            <v>Employee Benefits UNMMG - Admin</v>
          </cell>
          <cell r="D226">
            <v>0</v>
          </cell>
          <cell r="E226">
            <v>27314.13</v>
          </cell>
          <cell r="F226">
            <v>30284.959999999999</v>
          </cell>
          <cell r="G226">
            <v>-2970.83</v>
          </cell>
          <cell r="H226">
            <v>-2970.83</v>
          </cell>
        </row>
        <row r="227">
          <cell r="B227" t="str">
            <v>01-10-1020-000-100-65005</v>
          </cell>
          <cell r="C227" t="str">
            <v>Emp Benefits-STD - Admin</v>
          </cell>
          <cell r="D227">
            <v>0</v>
          </cell>
          <cell r="E227">
            <v>770.1</v>
          </cell>
          <cell r="F227">
            <v>0</v>
          </cell>
          <cell r="G227">
            <v>770.1</v>
          </cell>
          <cell r="H227">
            <v>770.1</v>
          </cell>
        </row>
        <row r="228">
          <cell r="B228" t="str">
            <v>01-10-1020-000-100-67025</v>
          </cell>
          <cell r="C228" t="str">
            <v>ER 403(b) - Admin</v>
          </cell>
          <cell r="D228">
            <v>0</v>
          </cell>
          <cell r="E228">
            <v>22721.360000000001</v>
          </cell>
          <cell r="F228">
            <v>0</v>
          </cell>
          <cell r="G228">
            <v>22721.360000000001</v>
          </cell>
          <cell r="H228">
            <v>22721.360000000001</v>
          </cell>
        </row>
        <row r="229">
          <cell r="B229" t="str">
            <v>01-10-1020-000-100-67030</v>
          </cell>
          <cell r="C229" t="str">
            <v>ER Hlth Dental &amp; Vision - Admin</v>
          </cell>
          <cell r="D229">
            <v>0</v>
          </cell>
          <cell r="E229">
            <v>12833.1</v>
          </cell>
          <cell r="F229">
            <v>0</v>
          </cell>
          <cell r="G229">
            <v>12833.1</v>
          </cell>
          <cell r="H229">
            <v>12833.1</v>
          </cell>
        </row>
        <row r="230">
          <cell r="B230" t="str">
            <v>01-10-1020-000-100-67050</v>
          </cell>
          <cell r="C230" t="str">
            <v>ER Life Ins - Admin</v>
          </cell>
          <cell r="D230">
            <v>0</v>
          </cell>
          <cell r="E230">
            <v>39.409999999999997</v>
          </cell>
          <cell r="F230">
            <v>0</v>
          </cell>
          <cell r="G230">
            <v>39.409999999999997</v>
          </cell>
          <cell r="H230">
            <v>39.409999999999997</v>
          </cell>
        </row>
        <row r="231">
          <cell r="B231" t="str">
            <v>01-10-1020-000-100-67100</v>
          </cell>
          <cell r="C231" t="str">
            <v>ER Fica_Mcare - Admin</v>
          </cell>
          <cell r="D231">
            <v>0</v>
          </cell>
          <cell r="E231">
            <v>14586.28</v>
          </cell>
          <cell r="F231">
            <v>0</v>
          </cell>
          <cell r="G231">
            <v>14586.28</v>
          </cell>
          <cell r="H231">
            <v>14586.28</v>
          </cell>
        </row>
        <row r="232">
          <cell r="B232" t="str">
            <v>01-10-1020-000-100-67105</v>
          </cell>
          <cell r="C232" t="str">
            <v>ER FUI - Admin</v>
          </cell>
          <cell r="D232">
            <v>0</v>
          </cell>
          <cell r="E232">
            <v>190.89</v>
          </cell>
          <cell r="F232">
            <v>0</v>
          </cell>
          <cell r="G232">
            <v>190.89</v>
          </cell>
          <cell r="H232">
            <v>190.89</v>
          </cell>
        </row>
        <row r="233">
          <cell r="B233" t="str">
            <v>01-10-1020-000-100-67110</v>
          </cell>
          <cell r="C233" t="str">
            <v>ER SUI - Admin</v>
          </cell>
          <cell r="D233">
            <v>0</v>
          </cell>
          <cell r="E233">
            <v>1404.35</v>
          </cell>
          <cell r="F233">
            <v>0</v>
          </cell>
          <cell r="G233">
            <v>1404.35</v>
          </cell>
          <cell r="H233">
            <v>1404.35</v>
          </cell>
        </row>
        <row r="234">
          <cell r="B234" t="str">
            <v>01-10-1020-000-100-67120</v>
          </cell>
          <cell r="C234" t="str">
            <v>Worker's Comp Fee - Admin</v>
          </cell>
          <cell r="D234">
            <v>0</v>
          </cell>
          <cell r="E234">
            <v>11.21</v>
          </cell>
          <cell r="F234">
            <v>0</v>
          </cell>
          <cell r="G234">
            <v>11.21</v>
          </cell>
          <cell r="H234">
            <v>11.21</v>
          </cell>
        </row>
        <row r="235">
          <cell r="B235" t="str">
            <v>01-10-1020-000-100-70005</v>
          </cell>
          <cell r="C235" t="str">
            <v>Advertising - Admin</v>
          </cell>
          <cell r="D235">
            <v>0</v>
          </cell>
          <cell r="E235">
            <v>500</v>
          </cell>
          <cell r="F235">
            <v>0</v>
          </cell>
          <cell r="G235">
            <v>500</v>
          </cell>
          <cell r="H235">
            <v>500</v>
          </cell>
        </row>
        <row r="236">
          <cell r="B236" t="str">
            <v>01-10-1020-000-100-70025</v>
          </cell>
          <cell r="C236" t="str">
            <v>Books &amp; Publications - Admin</v>
          </cell>
          <cell r="D236">
            <v>0</v>
          </cell>
          <cell r="E236">
            <v>758.91</v>
          </cell>
          <cell r="F236">
            <v>0</v>
          </cell>
          <cell r="G236">
            <v>758.91</v>
          </cell>
          <cell r="H236">
            <v>758.91</v>
          </cell>
        </row>
        <row r="237">
          <cell r="B237" t="str">
            <v>01-10-1020-000-100-70028</v>
          </cell>
          <cell r="C237" t="str">
            <v>Copier - Admin</v>
          </cell>
          <cell r="D237">
            <v>0</v>
          </cell>
          <cell r="E237">
            <v>2289.73</v>
          </cell>
          <cell r="F237">
            <v>64.33</v>
          </cell>
          <cell r="G237">
            <v>2225.4</v>
          </cell>
          <cell r="H237">
            <v>2225.4</v>
          </cell>
        </row>
        <row r="238">
          <cell r="B238" t="str">
            <v>01-10-1020-000-100-70030</v>
          </cell>
          <cell r="C238" t="str">
            <v>Dues &amp; Memberships - Admin</v>
          </cell>
          <cell r="D238">
            <v>0</v>
          </cell>
          <cell r="E238">
            <v>26245.75</v>
          </cell>
          <cell r="F238">
            <v>2848</v>
          </cell>
          <cell r="G238">
            <v>23397.75</v>
          </cell>
          <cell r="H238">
            <v>23397.75</v>
          </cell>
        </row>
        <row r="239">
          <cell r="B239" t="str">
            <v>01-10-1020-000-100-70038</v>
          </cell>
          <cell r="C239" t="str">
            <v>Legal - Admin</v>
          </cell>
          <cell r="D239">
            <v>0</v>
          </cell>
          <cell r="E239">
            <v>72031.87</v>
          </cell>
          <cell r="F239">
            <v>66175.820000000007</v>
          </cell>
          <cell r="G239">
            <v>5856.05</v>
          </cell>
          <cell r="H239">
            <v>5856.05</v>
          </cell>
        </row>
        <row r="240">
          <cell r="B240" t="str">
            <v>01-10-1020-000-100-70039</v>
          </cell>
          <cell r="C240" t="str">
            <v>Licenses &amp; Fees - Admin</v>
          </cell>
          <cell r="D240">
            <v>0</v>
          </cell>
          <cell r="E240">
            <v>150</v>
          </cell>
          <cell r="F240">
            <v>0</v>
          </cell>
          <cell r="G240">
            <v>150</v>
          </cell>
          <cell r="H240">
            <v>150</v>
          </cell>
        </row>
        <row r="241">
          <cell r="B241" t="str">
            <v>01-10-1020-000-100-70040</v>
          </cell>
          <cell r="C241" t="str">
            <v>Materials &amp; Services - Admin</v>
          </cell>
          <cell r="D241">
            <v>0</v>
          </cell>
          <cell r="E241">
            <v>796.3</v>
          </cell>
          <cell r="F241">
            <v>0</v>
          </cell>
          <cell r="G241">
            <v>796.3</v>
          </cell>
          <cell r="H241">
            <v>796.3</v>
          </cell>
        </row>
        <row r="242">
          <cell r="B242" t="str">
            <v>01-10-1020-000-100-70045</v>
          </cell>
          <cell r="C242" t="str">
            <v>Meetings &amp; Conferences - Admin</v>
          </cell>
          <cell r="D242">
            <v>0</v>
          </cell>
          <cell r="E242">
            <v>9939.7099999999991</v>
          </cell>
          <cell r="F242">
            <v>3229.27</v>
          </cell>
          <cell r="G242">
            <v>6710.44</v>
          </cell>
          <cell r="H242">
            <v>6710.44</v>
          </cell>
        </row>
        <row r="243">
          <cell r="B243" t="str">
            <v>01-10-1020-000-100-70055</v>
          </cell>
          <cell r="C243" t="str">
            <v>Postage &amp; Shipping - Admin</v>
          </cell>
          <cell r="D243">
            <v>0</v>
          </cell>
          <cell r="E243">
            <v>541.38</v>
          </cell>
          <cell r="F243">
            <v>48.04</v>
          </cell>
          <cell r="G243">
            <v>493.34</v>
          </cell>
          <cell r="H243">
            <v>493.34</v>
          </cell>
        </row>
        <row r="244">
          <cell r="B244" t="str">
            <v>01-10-1020-000-100-70060</v>
          </cell>
          <cell r="C244" t="str">
            <v>Printing - Admin</v>
          </cell>
          <cell r="D244">
            <v>0</v>
          </cell>
          <cell r="E244">
            <v>1329.23</v>
          </cell>
          <cell r="F244">
            <v>0</v>
          </cell>
          <cell r="G244">
            <v>1329.23</v>
          </cell>
          <cell r="H244">
            <v>1329.23</v>
          </cell>
        </row>
        <row r="245">
          <cell r="B245" t="str">
            <v>01-10-1020-000-100-70090</v>
          </cell>
          <cell r="C245" t="str">
            <v>Travel - Admin</v>
          </cell>
          <cell r="D245">
            <v>0</v>
          </cell>
          <cell r="E245">
            <v>6508.76</v>
          </cell>
          <cell r="F245">
            <v>1031.6400000000001</v>
          </cell>
          <cell r="G245">
            <v>5477.12</v>
          </cell>
          <cell r="H245">
            <v>5477.12</v>
          </cell>
        </row>
        <row r="246">
          <cell r="B246" t="str">
            <v>01-10-1020-000-100-70095</v>
          </cell>
          <cell r="C246" t="str">
            <v>Mileage - Admin</v>
          </cell>
          <cell r="D246">
            <v>0</v>
          </cell>
          <cell r="E246">
            <v>1622.17</v>
          </cell>
          <cell r="F246">
            <v>324.51</v>
          </cell>
          <cell r="G246">
            <v>1297.6600000000001</v>
          </cell>
          <cell r="H246">
            <v>1297.6600000000001</v>
          </cell>
        </row>
        <row r="247">
          <cell r="B247" t="str">
            <v>01-10-1020-000-100-70100</v>
          </cell>
          <cell r="C247" t="str">
            <v>Office Supplies - Admin</v>
          </cell>
          <cell r="D247">
            <v>0</v>
          </cell>
          <cell r="E247">
            <v>7084.66</v>
          </cell>
          <cell r="F247">
            <v>3611.59</v>
          </cell>
          <cell r="G247">
            <v>3473.07</v>
          </cell>
          <cell r="H247">
            <v>3473.07</v>
          </cell>
        </row>
        <row r="248">
          <cell r="B248" t="str">
            <v>01-10-1020-000-100-70410</v>
          </cell>
          <cell r="C248" t="str">
            <v>Computer  Costs - Admin</v>
          </cell>
          <cell r="D248">
            <v>0</v>
          </cell>
          <cell r="E248">
            <v>294.01</v>
          </cell>
          <cell r="F248">
            <v>0</v>
          </cell>
          <cell r="G248">
            <v>294.01</v>
          </cell>
          <cell r="H248">
            <v>294.01</v>
          </cell>
        </row>
        <row r="249">
          <cell r="B249" t="str">
            <v>01-10-1020-000-100-70420</v>
          </cell>
          <cell r="C249" t="str">
            <v>Software Subscript &amp; Mntnce - Admin</v>
          </cell>
          <cell r="D249">
            <v>0</v>
          </cell>
          <cell r="E249">
            <v>348</v>
          </cell>
          <cell r="F249">
            <v>0</v>
          </cell>
          <cell r="G249">
            <v>348</v>
          </cell>
          <cell r="H249">
            <v>348</v>
          </cell>
        </row>
        <row r="250">
          <cell r="B250" t="str">
            <v>01-10-1020-000-100-70550</v>
          </cell>
          <cell r="C250" t="str">
            <v>Furn Fix &amp; Remodel - Admin</v>
          </cell>
          <cell r="D250">
            <v>0</v>
          </cell>
          <cell r="E250">
            <v>43.68</v>
          </cell>
          <cell r="F250">
            <v>0</v>
          </cell>
          <cell r="G250">
            <v>43.68</v>
          </cell>
          <cell r="H250">
            <v>43.68</v>
          </cell>
        </row>
        <row r="251">
          <cell r="B251" t="str">
            <v>01-10-1020-000-100-71020</v>
          </cell>
          <cell r="C251" t="str">
            <v>Storage - Admin</v>
          </cell>
          <cell r="D251">
            <v>0</v>
          </cell>
          <cell r="E251">
            <v>471.58</v>
          </cell>
          <cell r="F251">
            <v>267.41000000000003</v>
          </cell>
          <cell r="G251">
            <v>204.17</v>
          </cell>
          <cell r="H251">
            <v>204.17</v>
          </cell>
        </row>
        <row r="252">
          <cell r="B252" t="str">
            <v>01-10-1020-000-100-72030</v>
          </cell>
          <cell r="C252" t="str">
            <v>Recycling - Admin</v>
          </cell>
          <cell r="D252">
            <v>0</v>
          </cell>
          <cell r="E252">
            <v>165.2</v>
          </cell>
          <cell r="F252">
            <v>0</v>
          </cell>
          <cell r="G252">
            <v>165.2</v>
          </cell>
          <cell r="H252">
            <v>165.2</v>
          </cell>
        </row>
        <row r="253">
          <cell r="B253" t="str">
            <v>01-10-1020-000-100-72035</v>
          </cell>
          <cell r="C253" t="str">
            <v>Phone - Admin</v>
          </cell>
          <cell r="D253">
            <v>0</v>
          </cell>
          <cell r="E253">
            <v>49791.51</v>
          </cell>
          <cell r="F253">
            <v>0</v>
          </cell>
          <cell r="G253">
            <v>49791.51</v>
          </cell>
          <cell r="H253">
            <v>49791.51</v>
          </cell>
        </row>
        <row r="254">
          <cell r="B254" t="str">
            <v>01-10-1020-000-100-72040</v>
          </cell>
          <cell r="C254" t="str">
            <v>Water - Admin</v>
          </cell>
          <cell r="D254">
            <v>0</v>
          </cell>
          <cell r="E254">
            <v>65.91</v>
          </cell>
          <cell r="F254">
            <v>0</v>
          </cell>
          <cell r="G254">
            <v>65.91</v>
          </cell>
          <cell r="H254">
            <v>65.91</v>
          </cell>
        </row>
        <row r="255">
          <cell r="B255" t="str">
            <v>01-10-1020-000-100-98005</v>
          </cell>
          <cell r="C255" t="str">
            <v>FTEs-Dir Mgr-UNMMG-Admin</v>
          </cell>
          <cell r="D255">
            <v>0</v>
          </cell>
          <cell r="E255">
            <v>14</v>
          </cell>
          <cell r="F255">
            <v>14</v>
          </cell>
          <cell r="G255">
            <v>0</v>
          </cell>
          <cell r="H255">
            <v>0</v>
          </cell>
        </row>
        <row r="256">
          <cell r="B256" t="str">
            <v>01-10-1020-000-100-98013</v>
          </cell>
          <cell r="C256" t="str">
            <v>FTEs-Prof-UNMMG-Admin</v>
          </cell>
          <cell r="D256">
            <v>0</v>
          </cell>
          <cell r="E256">
            <v>15</v>
          </cell>
          <cell r="F256">
            <v>15</v>
          </cell>
          <cell r="G256">
            <v>0</v>
          </cell>
          <cell r="H256">
            <v>0</v>
          </cell>
        </row>
        <row r="257">
          <cell r="B257" t="str">
            <v>01-10-1020-000-100-98014</v>
          </cell>
          <cell r="C257" t="str">
            <v>FTEs-Prof-UNM-Admin</v>
          </cell>
          <cell r="D257">
            <v>0</v>
          </cell>
          <cell r="E257">
            <v>11</v>
          </cell>
          <cell r="F257">
            <v>11</v>
          </cell>
          <cell r="G257">
            <v>0</v>
          </cell>
          <cell r="H257">
            <v>0</v>
          </cell>
        </row>
        <row r="258">
          <cell r="B258" t="str">
            <v>01-10-1040-000-000-20114</v>
          </cell>
          <cell r="C258" t="str">
            <v>Parking -HR</v>
          </cell>
          <cell r="D258">
            <v>0</v>
          </cell>
          <cell r="E258">
            <v>50</v>
          </cell>
          <cell r="F258">
            <v>50</v>
          </cell>
          <cell r="G258">
            <v>0</v>
          </cell>
          <cell r="H258">
            <v>0</v>
          </cell>
        </row>
        <row r="259">
          <cell r="B259" t="str">
            <v>01-10-1040-000-000-35010</v>
          </cell>
          <cell r="C259" t="str">
            <v>Prior Yr Fund Balance-HR</v>
          </cell>
          <cell r="D259">
            <v>0</v>
          </cell>
          <cell r="E259">
            <v>360229.15</v>
          </cell>
          <cell r="F259">
            <v>0</v>
          </cell>
          <cell r="G259">
            <v>360229.15</v>
          </cell>
          <cell r="H259">
            <v>360229.15</v>
          </cell>
        </row>
        <row r="260">
          <cell r="B260" t="str">
            <v>01-10-1040-000-100-60013</v>
          </cell>
          <cell r="C260" t="str">
            <v>Salaries-Prof - HR</v>
          </cell>
          <cell r="D260">
            <v>0</v>
          </cell>
          <cell r="E260">
            <v>206977.2</v>
          </cell>
          <cell r="F260">
            <v>0</v>
          </cell>
          <cell r="G260">
            <v>206977.2</v>
          </cell>
          <cell r="H260">
            <v>206977.2</v>
          </cell>
        </row>
        <row r="261">
          <cell r="B261" t="str">
            <v>01-10-1040-000-100-60015</v>
          </cell>
          <cell r="C261" t="str">
            <v>Salaries-Technical - HR</v>
          </cell>
          <cell r="D261">
            <v>0</v>
          </cell>
          <cell r="E261">
            <v>62958.44</v>
          </cell>
          <cell r="F261">
            <v>30923.46</v>
          </cell>
          <cell r="G261">
            <v>32034.98</v>
          </cell>
          <cell r="H261">
            <v>32034.98</v>
          </cell>
        </row>
        <row r="262">
          <cell r="B262" t="str">
            <v>01-10-1040-000-100-60018</v>
          </cell>
          <cell r="C262" t="str">
            <v>Salaries-Clerical - HR</v>
          </cell>
          <cell r="D262">
            <v>0</v>
          </cell>
          <cell r="E262">
            <v>9774.08</v>
          </cell>
          <cell r="F262">
            <v>3515.14</v>
          </cell>
          <cell r="G262">
            <v>6258.94</v>
          </cell>
          <cell r="H262">
            <v>6258.94</v>
          </cell>
        </row>
        <row r="263">
          <cell r="B263" t="str">
            <v>01-10-1040-000-100-60070</v>
          </cell>
          <cell r="C263" t="str">
            <v>Contract Labor - HR</v>
          </cell>
          <cell r="D263">
            <v>0</v>
          </cell>
          <cell r="E263">
            <v>1819.66</v>
          </cell>
          <cell r="F263">
            <v>0</v>
          </cell>
          <cell r="G263">
            <v>1819.66</v>
          </cell>
          <cell r="H263">
            <v>1819.66</v>
          </cell>
        </row>
        <row r="264">
          <cell r="B264" t="str">
            <v>01-10-1040-000-100-63505</v>
          </cell>
          <cell r="C264" t="str">
            <v>Overtime-UNM-HR</v>
          </cell>
          <cell r="D264">
            <v>0</v>
          </cell>
          <cell r="E264">
            <v>440.16</v>
          </cell>
          <cell r="F264">
            <v>0</v>
          </cell>
          <cell r="G264">
            <v>440.16</v>
          </cell>
          <cell r="H264">
            <v>440.16</v>
          </cell>
        </row>
        <row r="265">
          <cell r="B265" t="str">
            <v>01-10-1040-000-100-64015</v>
          </cell>
          <cell r="C265" t="str">
            <v>Billed to SC Salaries-HR</v>
          </cell>
          <cell r="D265">
            <v>0</v>
          </cell>
          <cell r="E265">
            <v>8848</v>
          </cell>
          <cell r="F265">
            <v>61936</v>
          </cell>
          <cell r="G265">
            <v>-53088</v>
          </cell>
          <cell r="H265">
            <v>-53088</v>
          </cell>
        </row>
        <row r="266">
          <cell r="B266" t="str">
            <v>01-10-1040-000-100-64050</v>
          </cell>
          <cell r="C266" t="str">
            <v>Emp Benefits-UNM - HR</v>
          </cell>
          <cell r="D266">
            <v>0</v>
          </cell>
          <cell r="E266">
            <v>183379</v>
          </cell>
          <cell r="F266">
            <v>110833.42</v>
          </cell>
          <cell r="G266">
            <v>72545.58</v>
          </cell>
          <cell r="H266">
            <v>72545.58</v>
          </cell>
        </row>
        <row r="267">
          <cell r="B267" t="str">
            <v>01-10-1040-000-100-64055</v>
          </cell>
          <cell r="C267" t="str">
            <v>Employee Benefits UNMMG - HR</v>
          </cell>
          <cell r="D267">
            <v>0</v>
          </cell>
          <cell r="E267">
            <v>1455.94</v>
          </cell>
          <cell r="F267">
            <v>1455.94</v>
          </cell>
          <cell r="G267">
            <v>0</v>
          </cell>
          <cell r="H267">
            <v>0</v>
          </cell>
        </row>
        <row r="268">
          <cell r="B268" t="str">
            <v>01-10-1040-000-100-65010</v>
          </cell>
          <cell r="C268" t="str">
            <v>Emp Benefits- Misc. EE Benefits - HR</v>
          </cell>
          <cell r="D268">
            <v>0</v>
          </cell>
          <cell r="E268">
            <v>465.06</v>
          </cell>
          <cell r="F268">
            <v>0</v>
          </cell>
          <cell r="G268">
            <v>465.06</v>
          </cell>
          <cell r="H268">
            <v>465.06</v>
          </cell>
        </row>
        <row r="269">
          <cell r="B269" t="str">
            <v>01-10-1040-000-100-67120</v>
          </cell>
          <cell r="C269" t="str">
            <v>Worker's Comp Fee - HR</v>
          </cell>
          <cell r="D269">
            <v>0</v>
          </cell>
          <cell r="E269">
            <v>11.21</v>
          </cell>
          <cell r="F269">
            <v>0</v>
          </cell>
          <cell r="G269">
            <v>11.21</v>
          </cell>
          <cell r="H269">
            <v>11.21</v>
          </cell>
        </row>
        <row r="270">
          <cell r="B270" t="str">
            <v>01-10-1040-000-100-70028</v>
          </cell>
          <cell r="C270" t="str">
            <v>Copier - HR</v>
          </cell>
          <cell r="D270">
            <v>0</v>
          </cell>
          <cell r="E270">
            <v>2730.17</v>
          </cell>
          <cell r="F270">
            <v>96.49</v>
          </cell>
          <cell r="G270">
            <v>2633.68</v>
          </cell>
          <cell r="H270">
            <v>2633.68</v>
          </cell>
        </row>
        <row r="271">
          <cell r="B271" t="str">
            <v>01-10-1040-000-100-70030</v>
          </cell>
          <cell r="C271" t="str">
            <v>Dues &amp; Memberships - HR</v>
          </cell>
          <cell r="D271">
            <v>0</v>
          </cell>
          <cell r="E271">
            <v>854.65</v>
          </cell>
          <cell r="F271">
            <v>304.64999999999998</v>
          </cell>
          <cell r="G271">
            <v>550</v>
          </cell>
          <cell r="H271">
            <v>550</v>
          </cell>
        </row>
        <row r="272">
          <cell r="B272" t="str">
            <v>01-10-1040-000-100-70040</v>
          </cell>
          <cell r="C272" t="str">
            <v>Materials &amp; Services - HR</v>
          </cell>
          <cell r="D272">
            <v>0</v>
          </cell>
          <cell r="E272">
            <v>2111</v>
          </cell>
          <cell r="F272">
            <v>0</v>
          </cell>
          <cell r="G272">
            <v>2111</v>
          </cell>
          <cell r="H272">
            <v>2111</v>
          </cell>
        </row>
        <row r="273">
          <cell r="B273" t="str">
            <v>01-10-1040-000-100-70045</v>
          </cell>
          <cell r="C273" t="str">
            <v>Meetings &amp; Conferences-HR</v>
          </cell>
          <cell r="D273">
            <v>0</v>
          </cell>
          <cell r="E273">
            <v>2399.38</v>
          </cell>
          <cell r="F273">
            <v>770</v>
          </cell>
          <cell r="G273">
            <v>1629.38</v>
          </cell>
          <cell r="H273">
            <v>1629.38</v>
          </cell>
        </row>
        <row r="274">
          <cell r="B274" t="str">
            <v>01-10-1040-000-100-70050</v>
          </cell>
          <cell r="C274" t="str">
            <v>Payroll &amp; HR Fees  - HR</v>
          </cell>
          <cell r="D274">
            <v>0</v>
          </cell>
          <cell r="E274">
            <v>9011.65</v>
          </cell>
          <cell r="F274">
            <v>0</v>
          </cell>
          <cell r="G274">
            <v>9011.65</v>
          </cell>
          <cell r="H274">
            <v>9011.65</v>
          </cell>
        </row>
        <row r="275">
          <cell r="B275" t="str">
            <v>01-10-1040-000-100-70055</v>
          </cell>
          <cell r="C275" t="str">
            <v>Postage &amp; Shipping - HR</v>
          </cell>
          <cell r="D275">
            <v>0</v>
          </cell>
          <cell r="E275">
            <v>453.71</v>
          </cell>
          <cell r="F275">
            <v>51.42</v>
          </cell>
          <cell r="G275">
            <v>402.29</v>
          </cell>
          <cell r="H275">
            <v>402.29</v>
          </cell>
        </row>
        <row r="276">
          <cell r="B276" t="str">
            <v>01-10-1040-000-100-70070</v>
          </cell>
          <cell r="C276" t="str">
            <v>Recruitment - HR</v>
          </cell>
          <cell r="D276">
            <v>0</v>
          </cell>
          <cell r="E276">
            <v>34999.1</v>
          </cell>
          <cell r="F276">
            <v>8240.6</v>
          </cell>
          <cell r="G276">
            <v>26758.5</v>
          </cell>
          <cell r="H276">
            <v>26758.5</v>
          </cell>
        </row>
        <row r="277">
          <cell r="B277" t="str">
            <v>01-10-1040-000-100-70075</v>
          </cell>
          <cell r="C277" t="str">
            <v>Staff Dev - HR</v>
          </cell>
          <cell r="D277">
            <v>0</v>
          </cell>
          <cell r="E277">
            <v>447.86</v>
          </cell>
          <cell r="F277">
            <v>0</v>
          </cell>
          <cell r="G277">
            <v>447.86</v>
          </cell>
          <cell r="H277">
            <v>447.86</v>
          </cell>
        </row>
        <row r="278">
          <cell r="B278" t="str">
            <v>01-10-1040-000-100-70090</v>
          </cell>
          <cell r="C278" t="str">
            <v>Travel - HR</v>
          </cell>
          <cell r="D278">
            <v>0</v>
          </cell>
          <cell r="E278">
            <v>1433.15</v>
          </cell>
          <cell r="F278">
            <v>0</v>
          </cell>
          <cell r="G278">
            <v>1433.15</v>
          </cell>
          <cell r="H278">
            <v>1433.15</v>
          </cell>
        </row>
        <row r="279">
          <cell r="B279" t="str">
            <v>01-10-1040-000-100-70100</v>
          </cell>
          <cell r="C279" t="str">
            <v>Office Supplies - HR</v>
          </cell>
          <cell r="D279">
            <v>0</v>
          </cell>
          <cell r="E279">
            <v>2015.7</v>
          </cell>
          <cell r="F279">
            <v>97.05</v>
          </cell>
          <cell r="G279">
            <v>1918.65</v>
          </cell>
          <cell r="H279">
            <v>1918.65</v>
          </cell>
        </row>
        <row r="280">
          <cell r="B280" t="str">
            <v>01-10-1040-000-100-70410</v>
          </cell>
          <cell r="C280" t="str">
            <v>Computer  Costs - HR</v>
          </cell>
          <cell r="D280">
            <v>0</v>
          </cell>
          <cell r="E280">
            <v>261.25</v>
          </cell>
          <cell r="F280">
            <v>0</v>
          </cell>
          <cell r="G280">
            <v>261.25</v>
          </cell>
          <cell r="H280">
            <v>261.25</v>
          </cell>
        </row>
        <row r="281">
          <cell r="B281" t="str">
            <v>01-10-1040-000-100-70420</v>
          </cell>
          <cell r="C281" t="str">
            <v>Software Subscript &amp; Mntnce - HR</v>
          </cell>
          <cell r="D281">
            <v>0</v>
          </cell>
          <cell r="E281">
            <v>625.5</v>
          </cell>
          <cell r="F281">
            <v>0</v>
          </cell>
          <cell r="G281">
            <v>625.5</v>
          </cell>
          <cell r="H281">
            <v>625.5</v>
          </cell>
        </row>
        <row r="282">
          <cell r="B282" t="str">
            <v>01-10-1040-000-100-70550</v>
          </cell>
          <cell r="C282" t="str">
            <v>Furn Fix &amp; Remodel - HR</v>
          </cell>
          <cell r="D282">
            <v>0</v>
          </cell>
          <cell r="E282">
            <v>389.99</v>
          </cell>
          <cell r="F282">
            <v>0</v>
          </cell>
          <cell r="G282">
            <v>389.99</v>
          </cell>
          <cell r="H282">
            <v>389.99</v>
          </cell>
        </row>
        <row r="283">
          <cell r="B283" t="str">
            <v>01-10-1040-000-100-71020</v>
          </cell>
          <cell r="C283" t="str">
            <v>Storage - HR</v>
          </cell>
          <cell r="D283">
            <v>0</v>
          </cell>
          <cell r="E283">
            <v>118.36</v>
          </cell>
          <cell r="F283">
            <v>50.14</v>
          </cell>
          <cell r="G283">
            <v>68.22</v>
          </cell>
          <cell r="H283">
            <v>68.22</v>
          </cell>
        </row>
        <row r="284">
          <cell r="B284" t="str">
            <v>01-10-1040-000-100-72030</v>
          </cell>
          <cell r="C284" t="str">
            <v>Recycling - HR</v>
          </cell>
          <cell r="D284">
            <v>0</v>
          </cell>
          <cell r="E284">
            <v>208.8</v>
          </cell>
          <cell r="F284">
            <v>0</v>
          </cell>
          <cell r="G284">
            <v>208.8</v>
          </cell>
          <cell r="H284">
            <v>208.8</v>
          </cell>
        </row>
        <row r="285">
          <cell r="B285" t="str">
            <v>01-10-1040-000-100-72035</v>
          </cell>
          <cell r="C285" t="str">
            <v>Phone - HR</v>
          </cell>
          <cell r="D285">
            <v>0</v>
          </cell>
          <cell r="E285">
            <v>1501.5</v>
          </cell>
          <cell r="F285">
            <v>0</v>
          </cell>
          <cell r="G285">
            <v>1501.5</v>
          </cell>
          <cell r="H285">
            <v>1501.5</v>
          </cell>
        </row>
        <row r="286">
          <cell r="B286" t="str">
            <v>01-10-1040-000-100-72040</v>
          </cell>
          <cell r="C286" t="str">
            <v>Water - HR</v>
          </cell>
          <cell r="D286">
            <v>0</v>
          </cell>
          <cell r="E286">
            <v>83.59</v>
          </cell>
          <cell r="F286">
            <v>0</v>
          </cell>
          <cell r="G286">
            <v>83.59</v>
          </cell>
          <cell r="H286">
            <v>83.59</v>
          </cell>
        </row>
        <row r="287">
          <cell r="B287" t="str">
            <v>01-10-1040-000-100-75002</v>
          </cell>
          <cell r="C287" t="str">
            <v>Billed from UNM Services - HR</v>
          </cell>
          <cell r="D287">
            <v>0</v>
          </cell>
          <cell r="E287">
            <v>231829.26</v>
          </cell>
          <cell r="F287">
            <v>84500</v>
          </cell>
          <cell r="G287">
            <v>147329.26</v>
          </cell>
          <cell r="H287">
            <v>147329.26</v>
          </cell>
        </row>
        <row r="288">
          <cell r="B288" t="str">
            <v>01-10-1040-000-100-98006</v>
          </cell>
          <cell r="C288" t="str">
            <v>FTEs-Dir/Mgr-UNM-HR</v>
          </cell>
          <cell r="D288">
            <v>0</v>
          </cell>
          <cell r="E288">
            <v>14</v>
          </cell>
          <cell r="F288">
            <v>14</v>
          </cell>
          <cell r="G288">
            <v>0</v>
          </cell>
          <cell r="H288">
            <v>0</v>
          </cell>
        </row>
        <row r="289">
          <cell r="B289" t="str">
            <v>01-10-1040-000-100-98014</v>
          </cell>
          <cell r="C289" t="str">
            <v>FTEs-Prof-UNM-HR</v>
          </cell>
          <cell r="D289">
            <v>0</v>
          </cell>
          <cell r="E289">
            <v>14</v>
          </cell>
          <cell r="F289">
            <v>14</v>
          </cell>
          <cell r="G289">
            <v>0</v>
          </cell>
          <cell r="H289">
            <v>0</v>
          </cell>
        </row>
        <row r="290">
          <cell r="B290" t="str">
            <v>01-10-1040-000-100-98018</v>
          </cell>
          <cell r="C290" t="str">
            <v>FTEs-Clerical-UNMMG-HR</v>
          </cell>
          <cell r="D290">
            <v>0</v>
          </cell>
          <cell r="E290">
            <v>1</v>
          </cell>
          <cell r="F290">
            <v>1</v>
          </cell>
          <cell r="G290">
            <v>0</v>
          </cell>
          <cell r="H290">
            <v>0</v>
          </cell>
        </row>
        <row r="291">
          <cell r="B291" t="str">
            <v>01-10-1040-000-100-98019</v>
          </cell>
          <cell r="C291" t="str">
            <v>FTEs-Clerical-UNM-HR</v>
          </cell>
          <cell r="D291">
            <v>0</v>
          </cell>
          <cell r="E291">
            <v>13</v>
          </cell>
          <cell r="F291">
            <v>13</v>
          </cell>
          <cell r="G291">
            <v>0</v>
          </cell>
          <cell r="H291">
            <v>0</v>
          </cell>
        </row>
        <row r="292">
          <cell r="B292" t="str">
            <v>01-10-1060-000-000-35010</v>
          </cell>
          <cell r="C292" t="str">
            <v>Prior Yr Fund Balance-Bus Dev</v>
          </cell>
          <cell r="D292">
            <v>0</v>
          </cell>
          <cell r="E292">
            <v>197051.97</v>
          </cell>
          <cell r="F292">
            <v>0</v>
          </cell>
          <cell r="G292">
            <v>197051.97</v>
          </cell>
          <cell r="H292">
            <v>197051.97</v>
          </cell>
        </row>
        <row r="293">
          <cell r="B293" t="str">
            <v>01-10-1060-000-100-60005</v>
          </cell>
          <cell r="C293" t="str">
            <v>Salaries-Dir Mgr - Bus Dev</v>
          </cell>
          <cell r="D293">
            <v>0</v>
          </cell>
          <cell r="E293">
            <v>174806.99</v>
          </cell>
          <cell r="F293">
            <v>0</v>
          </cell>
          <cell r="G293">
            <v>174806.99</v>
          </cell>
          <cell r="H293">
            <v>174806.99</v>
          </cell>
        </row>
        <row r="294">
          <cell r="B294" t="str">
            <v>01-10-1060-000-100-60015</v>
          </cell>
          <cell r="C294" t="str">
            <v>Salaries-Technical - Bus Dev</v>
          </cell>
          <cell r="D294">
            <v>0</v>
          </cell>
          <cell r="E294">
            <v>988.52</v>
          </cell>
          <cell r="F294">
            <v>988.52</v>
          </cell>
          <cell r="G294">
            <v>0</v>
          </cell>
          <cell r="H294">
            <v>0</v>
          </cell>
        </row>
        <row r="295">
          <cell r="B295" t="str">
            <v>01-10-1060-000-100-60018</v>
          </cell>
          <cell r="C295" t="str">
            <v>Salaries-Clerical - Bus Dev</v>
          </cell>
          <cell r="D295">
            <v>0</v>
          </cell>
          <cell r="E295">
            <v>35839.64</v>
          </cell>
          <cell r="F295">
            <v>8568.1299999999992</v>
          </cell>
          <cell r="G295">
            <v>27271.51</v>
          </cell>
          <cell r="H295">
            <v>27271.51</v>
          </cell>
        </row>
        <row r="296">
          <cell r="B296" t="str">
            <v>01-10-1060-000-100-63300</v>
          </cell>
          <cell r="C296" t="str">
            <v>Bonus Expense - Bus Dev</v>
          </cell>
          <cell r="D296">
            <v>0</v>
          </cell>
          <cell r="E296">
            <v>15244</v>
          </cell>
          <cell r="F296">
            <v>7405</v>
          </cell>
          <cell r="G296">
            <v>7839</v>
          </cell>
          <cell r="H296">
            <v>7839</v>
          </cell>
        </row>
        <row r="297">
          <cell r="B297" t="str">
            <v>01-10-1060-000-100-63500</v>
          </cell>
          <cell r="C297" t="str">
            <v>Overtime-UNMMG-Bus Dev</v>
          </cell>
          <cell r="D297">
            <v>0</v>
          </cell>
          <cell r="E297">
            <v>135.5</v>
          </cell>
          <cell r="F297">
            <v>5.97</v>
          </cell>
          <cell r="G297">
            <v>129.53</v>
          </cell>
          <cell r="H297">
            <v>129.53</v>
          </cell>
        </row>
        <row r="298">
          <cell r="B298" t="str">
            <v>01-10-1060-000-100-64015</v>
          </cell>
          <cell r="C298" t="str">
            <v>Billed to SC Salaries-BusDev</v>
          </cell>
          <cell r="D298">
            <v>0</v>
          </cell>
          <cell r="E298">
            <v>12621</v>
          </cell>
          <cell r="F298">
            <v>25242</v>
          </cell>
          <cell r="G298">
            <v>-12621</v>
          </cell>
          <cell r="H298">
            <v>-12621</v>
          </cell>
        </row>
        <row r="299">
          <cell r="B299" t="str">
            <v>01-10-1060-000-100-64050</v>
          </cell>
          <cell r="C299" t="str">
            <v>Emp Benefits-UNM - Bus Dev</v>
          </cell>
          <cell r="D299">
            <v>0</v>
          </cell>
          <cell r="E299">
            <v>1308.3399999999999</v>
          </cell>
          <cell r="F299">
            <v>2616.6799999999998</v>
          </cell>
          <cell r="G299">
            <v>-1308.3399999999999</v>
          </cell>
          <cell r="H299">
            <v>-1308.3399999999999</v>
          </cell>
        </row>
        <row r="300">
          <cell r="B300" t="str">
            <v>01-10-1060-000-100-64055</v>
          </cell>
          <cell r="C300" t="str">
            <v>Employee Benefits UNMMG - Bus Dev</v>
          </cell>
          <cell r="D300">
            <v>0</v>
          </cell>
          <cell r="E300">
            <v>28830.91</v>
          </cell>
          <cell r="F300">
            <v>27120.79</v>
          </cell>
          <cell r="G300">
            <v>1710.12</v>
          </cell>
          <cell r="H300">
            <v>1710.12</v>
          </cell>
        </row>
        <row r="301">
          <cell r="B301" t="str">
            <v>01-10-1060-000-100-65005</v>
          </cell>
          <cell r="C301" t="str">
            <v>Emp Benefits-STD - Bus Dev</v>
          </cell>
          <cell r="D301">
            <v>0</v>
          </cell>
          <cell r="E301">
            <v>677.24</v>
          </cell>
          <cell r="F301">
            <v>0</v>
          </cell>
          <cell r="G301">
            <v>677.24</v>
          </cell>
          <cell r="H301">
            <v>677.24</v>
          </cell>
        </row>
        <row r="302">
          <cell r="B302" t="str">
            <v>01-10-1060-000-100-65008</v>
          </cell>
          <cell r="C302" t="str">
            <v>Emp Benefits-Tuition - Bus Dev</v>
          </cell>
          <cell r="D302">
            <v>0</v>
          </cell>
          <cell r="E302">
            <v>1100</v>
          </cell>
          <cell r="F302">
            <v>0</v>
          </cell>
          <cell r="G302">
            <v>1100</v>
          </cell>
          <cell r="H302">
            <v>1100</v>
          </cell>
        </row>
        <row r="303">
          <cell r="B303" t="str">
            <v>01-10-1060-000-100-67025</v>
          </cell>
          <cell r="C303" t="str">
            <v>ER 403(b) - Bus Dev</v>
          </cell>
          <cell r="D303">
            <v>0</v>
          </cell>
          <cell r="E303">
            <v>15112.26</v>
          </cell>
          <cell r="F303">
            <v>0</v>
          </cell>
          <cell r="G303">
            <v>15112.26</v>
          </cell>
          <cell r="H303">
            <v>15112.26</v>
          </cell>
        </row>
        <row r="304">
          <cell r="B304" t="str">
            <v>01-10-1060-000-100-67030</v>
          </cell>
          <cell r="C304" t="str">
            <v>ER Hlth Dental &amp; Vision - Bus Dev</v>
          </cell>
          <cell r="D304">
            <v>0</v>
          </cell>
          <cell r="E304">
            <v>7747.2</v>
          </cell>
          <cell r="F304">
            <v>0</v>
          </cell>
          <cell r="G304">
            <v>7747.2</v>
          </cell>
          <cell r="H304">
            <v>7747.2</v>
          </cell>
        </row>
        <row r="305">
          <cell r="B305" t="str">
            <v>01-10-1060-000-100-67100</v>
          </cell>
          <cell r="C305" t="str">
            <v>ER Fica_Mcare - Bus Dev</v>
          </cell>
          <cell r="D305">
            <v>0</v>
          </cell>
          <cell r="E305">
            <v>10861.72</v>
          </cell>
          <cell r="F305">
            <v>0</v>
          </cell>
          <cell r="G305">
            <v>10861.72</v>
          </cell>
          <cell r="H305">
            <v>10861.72</v>
          </cell>
        </row>
        <row r="306">
          <cell r="B306" t="str">
            <v>01-10-1060-000-100-67105</v>
          </cell>
          <cell r="C306" t="str">
            <v>ER FUI - Bus Dev</v>
          </cell>
          <cell r="D306">
            <v>0</v>
          </cell>
          <cell r="E306">
            <v>112</v>
          </cell>
          <cell r="F306">
            <v>0</v>
          </cell>
          <cell r="G306">
            <v>112</v>
          </cell>
          <cell r="H306">
            <v>112</v>
          </cell>
        </row>
        <row r="307">
          <cell r="B307" t="str">
            <v>01-10-1060-000-100-67110</v>
          </cell>
          <cell r="C307" t="str">
            <v>ER SUI - Bus Dev</v>
          </cell>
          <cell r="D307">
            <v>0</v>
          </cell>
          <cell r="E307">
            <v>924.56</v>
          </cell>
          <cell r="F307">
            <v>0</v>
          </cell>
          <cell r="G307">
            <v>924.56</v>
          </cell>
          <cell r="H307">
            <v>924.56</v>
          </cell>
        </row>
        <row r="308">
          <cell r="B308" t="str">
            <v>01-10-1060-000-100-67120</v>
          </cell>
          <cell r="C308" t="str">
            <v>Worker's Comp Fee - Bus Dev</v>
          </cell>
          <cell r="D308">
            <v>0</v>
          </cell>
          <cell r="E308">
            <v>7.47</v>
          </cell>
          <cell r="F308">
            <v>0</v>
          </cell>
          <cell r="G308">
            <v>7.47</v>
          </cell>
          <cell r="H308">
            <v>7.47</v>
          </cell>
        </row>
        <row r="309">
          <cell r="B309" t="str">
            <v>01-10-1060-000-100-70005</v>
          </cell>
          <cell r="C309" t="str">
            <v>Advertising - Bus Dev</v>
          </cell>
          <cell r="D309">
            <v>0</v>
          </cell>
          <cell r="E309">
            <v>4399.99</v>
          </cell>
          <cell r="F309">
            <v>444.44</v>
          </cell>
          <cell r="G309">
            <v>3955.55</v>
          </cell>
          <cell r="H309">
            <v>3955.55</v>
          </cell>
        </row>
        <row r="310">
          <cell r="B310" t="str">
            <v>01-10-1060-000-100-70025</v>
          </cell>
          <cell r="C310" t="str">
            <v>Books &amp; Publications - Bus Dev</v>
          </cell>
          <cell r="D310">
            <v>0</v>
          </cell>
          <cell r="E310">
            <v>299</v>
          </cell>
          <cell r="F310">
            <v>0</v>
          </cell>
          <cell r="G310">
            <v>299</v>
          </cell>
          <cell r="H310">
            <v>299</v>
          </cell>
        </row>
        <row r="311">
          <cell r="B311" t="str">
            <v>01-10-1060-000-100-70028</v>
          </cell>
          <cell r="C311" t="str">
            <v>Copier - Bus Dev</v>
          </cell>
          <cell r="D311">
            <v>0</v>
          </cell>
          <cell r="E311">
            <v>1625.91</v>
          </cell>
          <cell r="F311">
            <v>48.24</v>
          </cell>
          <cell r="G311">
            <v>1577.67</v>
          </cell>
          <cell r="H311">
            <v>1577.67</v>
          </cell>
        </row>
        <row r="312">
          <cell r="B312" t="str">
            <v>01-10-1060-000-100-70030</v>
          </cell>
          <cell r="C312" t="str">
            <v>Dues &amp; Memberships - Bus Dev</v>
          </cell>
          <cell r="D312">
            <v>0</v>
          </cell>
          <cell r="E312">
            <v>3100</v>
          </cell>
          <cell r="F312">
            <v>650</v>
          </cell>
          <cell r="G312">
            <v>2450</v>
          </cell>
          <cell r="H312">
            <v>2450</v>
          </cell>
        </row>
        <row r="313">
          <cell r="B313" t="str">
            <v>01-10-1060-000-100-70040</v>
          </cell>
          <cell r="C313" t="str">
            <v>Materials &amp; Services - Bus Dev</v>
          </cell>
          <cell r="D313">
            <v>0</v>
          </cell>
          <cell r="E313">
            <v>7885</v>
          </cell>
          <cell r="F313">
            <v>0</v>
          </cell>
          <cell r="G313">
            <v>7885</v>
          </cell>
          <cell r="H313">
            <v>7885</v>
          </cell>
        </row>
        <row r="314">
          <cell r="B314" t="str">
            <v>01-10-1060-000-100-70045</v>
          </cell>
          <cell r="C314" t="str">
            <v>Meetings &amp; Conferences - Bus Dev</v>
          </cell>
          <cell r="D314">
            <v>0</v>
          </cell>
          <cell r="E314">
            <v>2441.02</v>
          </cell>
          <cell r="F314">
            <v>0</v>
          </cell>
          <cell r="G314">
            <v>2441.02</v>
          </cell>
          <cell r="H314">
            <v>2441.02</v>
          </cell>
        </row>
        <row r="315">
          <cell r="B315" t="str">
            <v>01-10-1060-000-100-70055</v>
          </cell>
          <cell r="C315" t="str">
            <v>Postage &amp; Shipping - Bus Dev</v>
          </cell>
          <cell r="D315">
            <v>0</v>
          </cell>
          <cell r="E315">
            <v>327.11</v>
          </cell>
          <cell r="F315">
            <v>25.71</v>
          </cell>
          <cell r="G315">
            <v>301.39999999999998</v>
          </cell>
          <cell r="H315">
            <v>301.39999999999998</v>
          </cell>
        </row>
        <row r="316">
          <cell r="B316" t="str">
            <v>01-10-1060-000-100-70075</v>
          </cell>
          <cell r="C316" t="str">
            <v>Staff Dev - Bus Dev</v>
          </cell>
          <cell r="D316">
            <v>0</v>
          </cell>
          <cell r="E316">
            <v>3315.41</v>
          </cell>
          <cell r="F316">
            <v>1617.41</v>
          </cell>
          <cell r="G316">
            <v>1698</v>
          </cell>
          <cell r="H316">
            <v>1698</v>
          </cell>
        </row>
        <row r="317">
          <cell r="B317" t="str">
            <v>01-10-1060-000-100-70090</v>
          </cell>
          <cell r="C317" t="str">
            <v>Travel - Bus Dev</v>
          </cell>
          <cell r="D317">
            <v>0</v>
          </cell>
          <cell r="E317">
            <v>312.3</v>
          </cell>
          <cell r="F317">
            <v>0</v>
          </cell>
          <cell r="G317">
            <v>312.3</v>
          </cell>
          <cell r="H317">
            <v>312.3</v>
          </cell>
        </row>
        <row r="318">
          <cell r="B318" t="str">
            <v>01-10-1060-000-100-70095</v>
          </cell>
          <cell r="C318" t="str">
            <v>Mileage - Bus Dev</v>
          </cell>
          <cell r="D318">
            <v>0</v>
          </cell>
          <cell r="E318">
            <v>1611.82</v>
          </cell>
          <cell r="F318">
            <v>1141.94</v>
          </cell>
          <cell r="G318">
            <v>469.88</v>
          </cell>
          <cell r="H318">
            <v>469.88</v>
          </cell>
        </row>
        <row r="319">
          <cell r="B319" t="str">
            <v>01-10-1060-000-100-70100</v>
          </cell>
          <cell r="C319" t="str">
            <v>Office Supplies - Bus Dev</v>
          </cell>
          <cell r="D319">
            <v>0</v>
          </cell>
          <cell r="E319">
            <v>1927.8</v>
          </cell>
          <cell r="F319">
            <v>351.14</v>
          </cell>
          <cell r="G319">
            <v>1576.66</v>
          </cell>
          <cell r="H319">
            <v>1576.66</v>
          </cell>
        </row>
        <row r="320">
          <cell r="B320" t="str">
            <v>01-10-1060-000-100-70420</v>
          </cell>
          <cell r="C320" t="str">
            <v>Software Subscript &amp; Mntnce - Bus Dev</v>
          </cell>
          <cell r="D320">
            <v>0</v>
          </cell>
          <cell r="E320">
            <v>829.98</v>
          </cell>
          <cell r="F320">
            <v>0</v>
          </cell>
          <cell r="G320">
            <v>829.98</v>
          </cell>
          <cell r="H320">
            <v>829.98</v>
          </cell>
        </row>
        <row r="321">
          <cell r="B321" t="str">
            <v>01-10-1060-000-100-70510</v>
          </cell>
          <cell r="C321" t="str">
            <v>Other Contract Svcs - Bus Dev</v>
          </cell>
          <cell r="D321">
            <v>0</v>
          </cell>
          <cell r="E321">
            <v>7885</v>
          </cell>
          <cell r="F321">
            <v>7885</v>
          </cell>
          <cell r="G321">
            <v>0</v>
          </cell>
          <cell r="H321">
            <v>0</v>
          </cell>
        </row>
        <row r="322">
          <cell r="B322" t="str">
            <v>01-10-1060-000-100-71020</v>
          </cell>
          <cell r="C322" t="str">
            <v>Storage - Bus Dev</v>
          </cell>
          <cell r="D322">
            <v>0</v>
          </cell>
          <cell r="E322">
            <v>71.92</v>
          </cell>
          <cell r="F322">
            <v>33.43</v>
          </cell>
          <cell r="G322">
            <v>38.49</v>
          </cell>
          <cell r="H322">
            <v>38.49</v>
          </cell>
        </row>
        <row r="323">
          <cell r="B323" t="str">
            <v>01-10-1060-000-100-72030</v>
          </cell>
          <cell r="C323" t="str">
            <v>Recycling - Bus Dev</v>
          </cell>
          <cell r="D323">
            <v>0</v>
          </cell>
          <cell r="E323">
            <v>127.16</v>
          </cell>
          <cell r="F323">
            <v>0</v>
          </cell>
          <cell r="G323">
            <v>127.16</v>
          </cell>
          <cell r="H323">
            <v>127.16</v>
          </cell>
        </row>
        <row r="324">
          <cell r="B324" t="str">
            <v>01-10-1060-000-100-72035</v>
          </cell>
          <cell r="C324" t="str">
            <v>Phone - Bus Dev</v>
          </cell>
          <cell r="D324">
            <v>0</v>
          </cell>
          <cell r="E324">
            <v>1606.2</v>
          </cell>
          <cell r="F324">
            <v>0</v>
          </cell>
          <cell r="G324">
            <v>1606.2</v>
          </cell>
          <cell r="H324">
            <v>1606.2</v>
          </cell>
        </row>
        <row r="325">
          <cell r="B325" t="str">
            <v>01-10-1060-000-100-72040</v>
          </cell>
          <cell r="C325" t="str">
            <v>Water - Bus Dev</v>
          </cell>
          <cell r="D325">
            <v>0</v>
          </cell>
          <cell r="E325">
            <v>50.6</v>
          </cell>
          <cell r="F325">
            <v>0</v>
          </cell>
          <cell r="G325">
            <v>50.6</v>
          </cell>
          <cell r="H325">
            <v>50.6</v>
          </cell>
        </row>
        <row r="326">
          <cell r="B326" t="str">
            <v>01-10-1060-000-100-98005</v>
          </cell>
          <cell r="C326" t="str">
            <v>FTEs-Dir Mgr-UNMMG-Bus Dev</v>
          </cell>
          <cell r="D326">
            <v>0</v>
          </cell>
          <cell r="E326">
            <v>14</v>
          </cell>
          <cell r="F326">
            <v>14</v>
          </cell>
          <cell r="G326">
            <v>0</v>
          </cell>
          <cell r="H326">
            <v>0</v>
          </cell>
        </row>
        <row r="327">
          <cell r="B327" t="str">
            <v>01-10-1060-000-100-98018</v>
          </cell>
          <cell r="C327" t="str">
            <v>FTEs-Clerical-UNMMG-Bus Dev</v>
          </cell>
          <cell r="D327">
            <v>0</v>
          </cell>
          <cell r="E327">
            <v>10.5</v>
          </cell>
          <cell r="F327">
            <v>10.5</v>
          </cell>
          <cell r="G327">
            <v>0</v>
          </cell>
          <cell r="H327">
            <v>0</v>
          </cell>
        </row>
        <row r="328">
          <cell r="B328" t="str">
            <v>01-10-1080-000-000-35010</v>
          </cell>
          <cell r="C328" t="str">
            <v>Prior Yr Fund Balance-Finance</v>
          </cell>
          <cell r="D328">
            <v>0</v>
          </cell>
          <cell r="E328">
            <v>1697228.51</v>
          </cell>
          <cell r="F328">
            <v>0</v>
          </cell>
          <cell r="G328">
            <v>1697228.51</v>
          </cell>
          <cell r="H328">
            <v>1697228.51</v>
          </cell>
        </row>
        <row r="329">
          <cell r="B329" t="str">
            <v>01-10-1080-000-100-60005</v>
          </cell>
          <cell r="C329" t="str">
            <v>Salaries-Dir Mgr - Finance</v>
          </cell>
          <cell r="D329">
            <v>0</v>
          </cell>
          <cell r="E329">
            <v>317347.21999999997</v>
          </cell>
          <cell r="F329">
            <v>91365.72</v>
          </cell>
          <cell r="G329">
            <v>225981.5</v>
          </cell>
          <cell r="H329">
            <v>225981.5</v>
          </cell>
        </row>
        <row r="330">
          <cell r="B330" t="str">
            <v>01-10-1080-000-100-60013</v>
          </cell>
          <cell r="C330" t="str">
            <v>Salaries-Prof - Finance</v>
          </cell>
          <cell r="D330">
            <v>0</v>
          </cell>
          <cell r="E330">
            <v>555962.80000000005</v>
          </cell>
          <cell r="F330">
            <v>0</v>
          </cell>
          <cell r="G330">
            <v>555962.80000000005</v>
          </cell>
          <cell r="H330">
            <v>555962.80000000005</v>
          </cell>
        </row>
        <row r="331">
          <cell r="B331" t="str">
            <v>01-10-1080-000-100-60015</v>
          </cell>
          <cell r="C331" t="str">
            <v>Salaries-Technical - Finance</v>
          </cell>
          <cell r="D331">
            <v>0</v>
          </cell>
          <cell r="E331">
            <v>62508.21</v>
          </cell>
          <cell r="F331">
            <v>47888.59</v>
          </cell>
          <cell r="G331">
            <v>14619.62</v>
          </cell>
          <cell r="H331">
            <v>14619.62</v>
          </cell>
        </row>
        <row r="332">
          <cell r="B332" t="str">
            <v>01-10-1080-000-100-60018</v>
          </cell>
          <cell r="C332" t="str">
            <v>Salaries-Clerical - Finance</v>
          </cell>
          <cell r="D332">
            <v>0</v>
          </cell>
          <cell r="E332">
            <v>206649.71</v>
          </cell>
          <cell r="F332">
            <v>63629.83</v>
          </cell>
          <cell r="G332">
            <v>143019.88</v>
          </cell>
          <cell r="H332">
            <v>143019.88</v>
          </cell>
        </row>
        <row r="333">
          <cell r="B333" t="str">
            <v>01-10-1080-000-100-60070</v>
          </cell>
          <cell r="C333" t="str">
            <v>Contract Labor - Finance</v>
          </cell>
          <cell r="D333">
            <v>0</v>
          </cell>
          <cell r="E333">
            <v>56157.27</v>
          </cell>
          <cell r="F333">
            <v>7169.82</v>
          </cell>
          <cell r="G333">
            <v>48987.45</v>
          </cell>
          <cell r="H333">
            <v>48987.45</v>
          </cell>
        </row>
        <row r="334">
          <cell r="B334" t="str">
            <v>01-10-1080-000-100-63300</v>
          </cell>
          <cell r="C334" t="str">
            <v>Bonus Expense - Finance</v>
          </cell>
          <cell r="D334">
            <v>0</v>
          </cell>
          <cell r="E334">
            <v>5292</v>
          </cell>
          <cell r="F334">
            <v>2785</v>
          </cell>
          <cell r="G334">
            <v>2507</v>
          </cell>
          <cell r="H334">
            <v>2507</v>
          </cell>
        </row>
        <row r="335">
          <cell r="B335" t="str">
            <v>01-10-1080-000-100-63500</v>
          </cell>
          <cell r="C335" t="str">
            <v>Overtime-UNMMG-Finance</v>
          </cell>
          <cell r="D335">
            <v>0</v>
          </cell>
          <cell r="E335">
            <v>22553.01</v>
          </cell>
          <cell r="F335">
            <v>802.55</v>
          </cell>
          <cell r="G335">
            <v>21750.46</v>
          </cell>
          <cell r="H335">
            <v>21750.46</v>
          </cell>
        </row>
        <row r="336">
          <cell r="B336" t="str">
            <v>01-10-1080-000-100-64015</v>
          </cell>
          <cell r="C336" t="str">
            <v>Billed to SC Salaries-Finance</v>
          </cell>
          <cell r="D336">
            <v>0</v>
          </cell>
          <cell r="E336">
            <v>4972.72</v>
          </cell>
          <cell r="F336">
            <v>27254.74</v>
          </cell>
          <cell r="G336">
            <v>-22282.02</v>
          </cell>
          <cell r="H336">
            <v>-22282.02</v>
          </cell>
        </row>
        <row r="337">
          <cell r="B337" t="str">
            <v>01-10-1080-000-100-64050</v>
          </cell>
          <cell r="C337" t="str">
            <v>Emp Benefits-UNM - Finance</v>
          </cell>
          <cell r="D337">
            <v>0</v>
          </cell>
          <cell r="E337">
            <v>20427.169999999998</v>
          </cell>
          <cell r="F337">
            <v>17196.07</v>
          </cell>
          <cell r="G337">
            <v>3231.1</v>
          </cell>
          <cell r="H337">
            <v>3231.1</v>
          </cell>
        </row>
        <row r="338">
          <cell r="B338" t="str">
            <v>01-10-1080-000-100-64055</v>
          </cell>
          <cell r="C338" t="str">
            <v>Employee Benefits UNMMG - Finance</v>
          </cell>
          <cell r="D338">
            <v>0</v>
          </cell>
          <cell r="E338">
            <v>107942.53</v>
          </cell>
          <cell r="F338">
            <v>93441.31</v>
          </cell>
          <cell r="G338">
            <v>14501.22</v>
          </cell>
          <cell r="H338">
            <v>14501.22</v>
          </cell>
        </row>
        <row r="339">
          <cell r="B339" t="str">
            <v>01-10-1080-000-100-65005</v>
          </cell>
          <cell r="C339" t="str">
            <v>Emp Benefits-STD - Finance</v>
          </cell>
          <cell r="D339">
            <v>0</v>
          </cell>
          <cell r="E339">
            <v>3591.85</v>
          </cell>
          <cell r="F339">
            <v>0</v>
          </cell>
          <cell r="G339">
            <v>3591.85</v>
          </cell>
          <cell r="H339">
            <v>3591.85</v>
          </cell>
        </row>
        <row r="340">
          <cell r="B340" t="str">
            <v>01-10-1080-000-100-65008</v>
          </cell>
          <cell r="C340" t="str">
            <v>Emp Benefits-Tuition - Finance</v>
          </cell>
          <cell r="D340">
            <v>0</v>
          </cell>
          <cell r="E340">
            <v>469</v>
          </cell>
          <cell r="F340">
            <v>0</v>
          </cell>
          <cell r="G340">
            <v>469</v>
          </cell>
          <cell r="H340">
            <v>469</v>
          </cell>
        </row>
        <row r="341">
          <cell r="B341" t="str">
            <v>01-10-1080-000-100-67025</v>
          </cell>
          <cell r="C341" t="str">
            <v>ER 403(b) - Finance</v>
          </cell>
          <cell r="D341">
            <v>0</v>
          </cell>
          <cell r="E341">
            <v>63153.15</v>
          </cell>
          <cell r="F341">
            <v>0</v>
          </cell>
          <cell r="G341">
            <v>63153.15</v>
          </cell>
          <cell r="H341">
            <v>63153.15</v>
          </cell>
        </row>
        <row r="342">
          <cell r="B342" t="str">
            <v>01-10-1080-000-100-67030</v>
          </cell>
          <cell r="C342" t="str">
            <v>ER Hlth Dental &amp; Vision - Finance</v>
          </cell>
          <cell r="D342">
            <v>0</v>
          </cell>
          <cell r="E342">
            <v>51671.58</v>
          </cell>
          <cell r="F342">
            <v>0</v>
          </cell>
          <cell r="G342">
            <v>51671.58</v>
          </cell>
          <cell r="H342">
            <v>51671.58</v>
          </cell>
        </row>
        <row r="343">
          <cell r="B343" t="str">
            <v>01-10-1080-000-100-67050</v>
          </cell>
          <cell r="C343" t="str">
            <v>ER Life Ins - Finance</v>
          </cell>
          <cell r="D343">
            <v>0</v>
          </cell>
          <cell r="E343">
            <v>1894.29</v>
          </cell>
          <cell r="F343">
            <v>0</v>
          </cell>
          <cell r="G343">
            <v>1894.29</v>
          </cell>
          <cell r="H343">
            <v>1894.29</v>
          </cell>
        </row>
        <row r="344">
          <cell r="B344" t="str">
            <v>01-10-1080-000-100-67100</v>
          </cell>
          <cell r="C344" t="str">
            <v>ER Fica_Mcare - Finance</v>
          </cell>
          <cell r="D344">
            <v>0</v>
          </cell>
          <cell r="E344">
            <v>66374.070000000007</v>
          </cell>
          <cell r="F344">
            <v>289.57</v>
          </cell>
          <cell r="G344">
            <v>66084.5</v>
          </cell>
          <cell r="H344">
            <v>66084.5</v>
          </cell>
        </row>
        <row r="345">
          <cell r="B345" t="str">
            <v>01-10-1080-000-100-67105</v>
          </cell>
          <cell r="C345" t="str">
            <v>ER FUI - Finance</v>
          </cell>
          <cell r="D345">
            <v>0</v>
          </cell>
          <cell r="E345">
            <v>1047.3900000000001</v>
          </cell>
          <cell r="F345">
            <v>56.4</v>
          </cell>
          <cell r="G345">
            <v>990.99</v>
          </cell>
          <cell r="H345">
            <v>990.99</v>
          </cell>
        </row>
        <row r="346">
          <cell r="B346" t="str">
            <v>01-10-1080-000-100-67110</v>
          </cell>
          <cell r="C346" t="str">
            <v>ER SUI - Finance</v>
          </cell>
          <cell r="D346">
            <v>0</v>
          </cell>
          <cell r="E346">
            <v>7749.8</v>
          </cell>
          <cell r="F346">
            <v>0</v>
          </cell>
          <cell r="G346">
            <v>7749.8</v>
          </cell>
          <cell r="H346">
            <v>7749.8</v>
          </cell>
        </row>
        <row r="347">
          <cell r="B347" t="str">
            <v>01-10-1080-000-100-67120</v>
          </cell>
          <cell r="C347" t="str">
            <v>Worker's Comp Fee - Finance</v>
          </cell>
          <cell r="D347">
            <v>0</v>
          </cell>
          <cell r="E347">
            <v>55.11</v>
          </cell>
          <cell r="F347">
            <v>0</v>
          </cell>
          <cell r="G347">
            <v>55.11</v>
          </cell>
          <cell r="H347">
            <v>55.11</v>
          </cell>
        </row>
        <row r="348">
          <cell r="B348" t="str">
            <v>01-10-1080-000-100-70001</v>
          </cell>
          <cell r="C348" t="str">
            <v>Accounting &amp; Audit - Finance</v>
          </cell>
          <cell r="D348">
            <v>0</v>
          </cell>
          <cell r="E348">
            <v>151600.01999999999</v>
          </cell>
          <cell r="F348">
            <v>76226.240000000005</v>
          </cell>
          <cell r="G348">
            <v>75373.78</v>
          </cell>
          <cell r="H348">
            <v>75373.78</v>
          </cell>
        </row>
        <row r="349">
          <cell r="B349" t="str">
            <v>01-10-1080-000-100-70015</v>
          </cell>
          <cell r="C349" t="str">
            <v>Bank Service Charges - Finance</v>
          </cell>
          <cell r="D349">
            <v>0</v>
          </cell>
          <cell r="E349">
            <v>45607.63</v>
          </cell>
          <cell r="F349">
            <v>160.24</v>
          </cell>
          <cell r="G349">
            <v>45447.39</v>
          </cell>
          <cell r="H349">
            <v>45447.39</v>
          </cell>
        </row>
        <row r="350">
          <cell r="B350" t="str">
            <v>01-10-1080-000-100-70025</v>
          </cell>
          <cell r="C350" t="str">
            <v>Books &amp; Publications - Finance</v>
          </cell>
          <cell r="D350">
            <v>0</v>
          </cell>
          <cell r="E350">
            <v>377.63</v>
          </cell>
          <cell r="F350">
            <v>0</v>
          </cell>
          <cell r="G350">
            <v>377.63</v>
          </cell>
          <cell r="H350">
            <v>377.63</v>
          </cell>
        </row>
        <row r="351">
          <cell r="B351" t="str">
            <v>01-10-1080-000-100-70028</v>
          </cell>
          <cell r="C351" t="str">
            <v>Copier - Finance</v>
          </cell>
          <cell r="D351">
            <v>0</v>
          </cell>
          <cell r="E351">
            <v>11623.66</v>
          </cell>
          <cell r="F351">
            <v>498.53</v>
          </cell>
          <cell r="G351">
            <v>11125.13</v>
          </cell>
          <cell r="H351">
            <v>11125.13</v>
          </cell>
        </row>
        <row r="352">
          <cell r="B352" t="str">
            <v>01-10-1080-000-100-70029</v>
          </cell>
          <cell r="C352" t="str">
            <v>Cash Over/Short-Finance</v>
          </cell>
          <cell r="D352">
            <v>0</v>
          </cell>
          <cell r="E352">
            <v>1.05</v>
          </cell>
          <cell r="F352">
            <v>0</v>
          </cell>
          <cell r="G352">
            <v>1.05</v>
          </cell>
          <cell r="H352">
            <v>1.05</v>
          </cell>
        </row>
        <row r="353">
          <cell r="B353" t="str">
            <v>01-10-1080-000-100-70030</v>
          </cell>
          <cell r="C353" t="str">
            <v>Dues &amp; Memberships - Finance</v>
          </cell>
          <cell r="D353">
            <v>0</v>
          </cell>
          <cell r="E353">
            <v>2396.15</v>
          </cell>
          <cell r="F353">
            <v>2015.9</v>
          </cell>
          <cell r="G353">
            <v>380.25</v>
          </cell>
          <cell r="H353">
            <v>380.25</v>
          </cell>
        </row>
        <row r="354">
          <cell r="B354" t="str">
            <v>01-10-1080-000-100-70039</v>
          </cell>
          <cell r="C354" t="str">
            <v>Licenses &amp; Fees - Finance</v>
          </cell>
          <cell r="D354">
            <v>0</v>
          </cell>
          <cell r="E354">
            <v>88.13</v>
          </cell>
          <cell r="F354">
            <v>0</v>
          </cell>
          <cell r="G354">
            <v>88.13</v>
          </cell>
          <cell r="H354">
            <v>88.13</v>
          </cell>
        </row>
        <row r="355">
          <cell r="B355" t="str">
            <v>01-10-1080-000-100-70040</v>
          </cell>
          <cell r="C355" t="str">
            <v>Materials &amp; Services - Finance</v>
          </cell>
          <cell r="D355">
            <v>0</v>
          </cell>
          <cell r="E355">
            <v>1054.21</v>
          </cell>
          <cell r="F355">
            <v>496.47</v>
          </cell>
          <cell r="G355">
            <v>557.74</v>
          </cell>
          <cell r="H355">
            <v>557.74</v>
          </cell>
        </row>
        <row r="356">
          <cell r="B356" t="str">
            <v>01-10-1080-000-100-70045</v>
          </cell>
          <cell r="C356" t="str">
            <v>Meetings &amp; Conferences-Finance</v>
          </cell>
          <cell r="D356">
            <v>0</v>
          </cell>
          <cell r="E356">
            <v>420.5</v>
          </cell>
          <cell r="F356">
            <v>0</v>
          </cell>
          <cell r="G356">
            <v>420.5</v>
          </cell>
          <cell r="H356">
            <v>420.5</v>
          </cell>
        </row>
        <row r="357">
          <cell r="B357" t="str">
            <v>01-10-1080-000-100-70050</v>
          </cell>
          <cell r="C357" t="str">
            <v>Payroll &amp; HR Fees  - Finance</v>
          </cell>
          <cell r="D357">
            <v>0</v>
          </cell>
          <cell r="E357">
            <v>30237.67</v>
          </cell>
          <cell r="F357">
            <v>4032.9</v>
          </cell>
          <cell r="G357">
            <v>26204.77</v>
          </cell>
          <cell r="H357">
            <v>26204.77</v>
          </cell>
        </row>
        <row r="358">
          <cell r="B358" t="str">
            <v>01-10-1080-000-100-70055</v>
          </cell>
          <cell r="C358" t="str">
            <v>Postage &amp; Shipping - Finance</v>
          </cell>
          <cell r="D358">
            <v>0</v>
          </cell>
          <cell r="E358">
            <v>2559.31</v>
          </cell>
          <cell r="F358">
            <v>265.67</v>
          </cell>
          <cell r="G358">
            <v>2293.64</v>
          </cell>
          <cell r="H358">
            <v>2293.64</v>
          </cell>
        </row>
        <row r="359">
          <cell r="B359" t="str">
            <v>01-10-1080-000-100-70075</v>
          </cell>
          <cell r="C359" t="str">
            <v>Staff Dev - Finance</v>
          </cell>
          <cell r="D359">
            <v>0</v>
          </cell>
          <cell r="E359">
            <v>2960.25</v>
          </cell>
          <cell r="F359">
            <v>0</v>
          </cell>
          <cell r="G359">
            <v>2960.25</v>
          </cell>
          <cell r="H359">
            <v>2960.25</v>
          </cell>
        </row>
        <row r="360">
          <cell r="B360" t="str">
            <v>01-10-1080-000-100-70095</v>
          </cell>
          <cell r="C360" t="str">
            <v>Mileage - Finance</v>
          </cell>
          <cell r="D360">
            <v>0</v>
          </cell>
          <cell r="E360">
            <v>1908.99</v>
          </cell>
          <cell r="F360">
            <v>0</v>
          </cell>
          <cell r="G360">
            <v>1908.99</v>
          </cell>
          <cell r="H360">
            <v>1908.99</v>
          </cell>
        </row>
        <row r="361">
          <cell r="B361" t="str">
            <v>01-10-1080-000-100-70100</v>
          </cell>
          <cell r="C361" t="str">
            <v>Office Supplies - Finance</v>
          </cell>
          <cell r="D361">
            <v>0</v>
          </cell>
          <cell r="E361">
            <v>11019.32</v>
          </cell>
          <cell r="F361">
            <v>431.59</v>
          </cell>
          <cell r="G361">
            <v>10587.73</v>
          </cell>
          <cell r="H361">
            <v>10587.73</v>
          </cell>
        </row>
        <row r="362">
          <cell r="B362" t="str">
            <v>01-10-1080-000-100-70410</v>
          </cell>
          <cell r="C362" t="str">
            <v>Computer  Costs - Finance</v>
          </cell>
          <cell r="D362">
            <v>0</v>
          </cell>
          <cell r="E362">
            <v>39829.949999999997</v>
          </cell>
          <cell r="F362">
            <v>0</v>
          </cell>
          <cell r="G362">
            <v>39829.949999999997</v>
          </cell>
          <cell r="H362">
            <v>39829.949999999997</v>
          </cell>
        </row>
        <row r="363">
          <cell r="B363" t="str">
            <v>01-10-1080-000-100-70420</v>
          </cell>
          <cell r="C363" t="str">
            <v>Software Subscript &amp; Mntnce - Finance</v>
          </cell>
          <cell r="D363">
            <v>0</v>
          </cell>
          <cell r="E363">
            <v>315689.14</v>
          </cell>
          <cell r="F363">
            <v>29863.08</v>
          </cell>
          <cell r="G363">
            <v>285826.06</v>
          </cell>
          <cell r="H363">
            <v>285826.06</v>
          </cell>
        </row>
        <row r="364">
          <cell r="B364" t="str">
            <v>01-10-1080-000-100-70520</v>
          </cell>
          <cell r="C364" t="str">
            <v>Courier - Finance</v>
          </cell>
          <cell r="D364">
            <v>0</v>
          </cell>
          <cell r="E364">
            <v>10414.299999999999</v>
          </cell>
          <cell r="F364">
            <v>770.68</v>
          </cell>
          <cell r="G364">
            <v>9643.6200000000008</v>
          </cell>
          <cell r="H364">
            <v>9643.6200000000008</v>
          </cell>
        </row>
        <row r="365">
          <cell r="B365" t="str">
            <v>01-10-1080-000-100-70550</v>
          </cell>
          <cell r="C365" t="str">
            <v>Furn Fix &amp; Remodel - Finance</v>
          </cell>
          <cell r="D365">
            <v>0</v>
          </cell>
          <cell r="E365">
            <v>3556.09</v>
          </cell>
          <cell r="F365">
            <v>0</v>
          </cell>
          <cell r="G365">
            <v>3556.09</v>
          </cell>
          <cell r="H365">
            <v>3556.09</v>
          </cell>
        </row>
        <row r="366">
          <cell r="B366" t="str">
            <v>01-10-1080-000-100-71020</v>
          </cell>
          <cell r="C366" t="str">
            <v>Storage - Finance</v>
          </cell>
          <cell r="D366">
            <v>0</v>
          </cell>
          <cell r="E366">
            <v>614.75</v>
          </cell>
          <cell r="F366">
            <v>263.23</v>
          </cell>
          <cell r="G366">
            <v>351.52</v>
          </cell>
          <cell r="H366">
            <v>351.52</v>
          </cell>
        </row>
        <row r="367">
          <cell r="B367" t="str">
            <v>01-10-1080-000-100-72030</v>
          </cell>
          <cell r="C367" t="str">
            <v>Recycling - Finance</v>
          </cell>
          <cell r="D367">
            <v>0</v>
          </cell>
          <cell r="E367">
            <v>845.97</v>
          </cell>
          <cell r="F367">
            <v>0</v>
          </cell>
          <cell r="G367">
            <v>845.97</v>
          </cell>
          <cell r="H367">
            <v>845.97</v>
          </cell>
        </row>
        <row r="368">
          <cell r="B368" t="str">
            <v>01-10-1080-000-100-72035</v>
          </cell>
          <cell r="C368" t="str">
            <v>Phone - Finance</v>
          </cell>
          <cell r="D368">
            <v>0</v>
          </cell>
          <cell r="E368">
            <v>14037.93</v>
          </cell>
          <cell r="F368">
            <v>959.25</v>
          </cell>
          <cell r="G368">
            <v>13078.68</v>
          </cell>
          <cell r="H368">
            <v>13078.68</v>
          </cell>
        </row>
        <row r="369">
          <cell r="B369" t="str">
            <v>01-10-1080-000-100-72040</v>
          </cell>
          <cell r="C369" t="str">
            <v>Water - Finance</v>
          </cell>
          <cell r="D369">
            <v>0</v>
          </cell>
          <cell r="E369">
            <v>343.85</v>
          </cell>
          <cell r="F369">
            <v>0</v>
          </cell>
          <cell r="G369">
            <v>343.85</v>
          </cell>
          <cell r="H369">
            <v>343.85</v>
          </cell>
        </row>
        <row r="370">
          <cell r="B370" t="str">
            <v>01-10-1080-000-100-98005</v>
          </cell>
          <cell r="C370" t="str">
            <v>FTEs-Dir Mgr-UNMMG-Finance</v>
          </cell>
          <cell r="D370">
            <v>0</v>
          </cell>
          <cell r="E370">
            <v>25</v>
          </cell>
          <cell r="F370">
            <v>25</v>
          </cell>
          <cell r="G370">
            <v>0</v>
          </cell>
          <cell r="H370">
            <v>0</v>
          </cell>
        </row>
        <row r="371">
          <cell r="B371" t="str">
            <v>01-10-1080-000-100-98006</v>
          </cell>
          <cell r="C371" t="str">
            <v>FTEs-Dir/Mgr-UNM-Finance</v>
          </cell>
          <cell r="D371">
            <v>0</v>
          </cell>
          <cell r="E371">
            <v>3</v>
          </cell>
          <cell r="F371">
            <v>3</v>
          </cell>
          <cell r="G371">
            <v>0</v>
          </cell>
          <cell r="H371">
            <v>0</v>
          </cell>
        </row>
        <row r="372">
          <cell r="B372" t="str">
            <v>01-10-1080-000-100-98013</v>
          </cell>
          <cell r="C372" t="str">
            <v>FTEs-Prof-UNMMG-Finance</v>
          </cell>
          <cell r="D372">
            <v>0</v>
          </cell>
          <cell r="E372">
            <v>122</v>
          </cell>
          <cell r="F372">
            <v>122</v>
          </cell>
          <cell r="G372">
            <v>0</v>
          </cell>
          <cell r="H372">
            <v>0</v>
          </cell>
        </row>
        <row r="373">
          <cell r="B373" t="str">
            <v>01-10-1080-000-100-98015</v>
          </cell>
          <cell r="C373" t="str">
            <v>FTEs-Technical-UNMMG-Finance</v>
          </cell>
          <cell r="D373">
            <v>0</v>
          </cell>
          <cell r="E373">
            <v>17</v>
          </cell>
          <cell r="F373">
            <v>17</v>
          </cell>
          <cell r="G373">
            <v>0</v>
          </cell>
          <cell r="H373">
            <v>0</v>
          </cell>
        </row>
        <row r="374">
          <cell r="B374" t="str">
            <v>01-10-1080-000-100-98018</v>
          </cell>
          <cell r="C374" t="str">
            <v>FTEs-Clerical-UNMMG-Finance</v>
          </cell>
          <cell r="D374">
            <v>0</v>
          </cell>
          <cell r="E374">
            <v>34.75</v>
          </cell>
          <cell r="F374">
            <v>34.75</v>
          </cell>
          <cell r="G374">
            <v>0</v>
          </cell>
          <cell r="H374">
            <v>0</v>
          </cell>
        </row>
        <row r="375">
          <cell r="B375" t="str">
            <v>01-10-1085-000-000-35010</v>
          </cell>
          <cell r="C375" t="str">
            <v>Prior Yr Fund Balance - Receipting</v>
          </cell>
          <cell r="D375">
            <v>0</v>
          </cell>
          <cell r="E375">
            <v>737188.88</v>
          </cell>
          <cell r="F375">
            <v>0</v>
          </cell>
          <cell r="G375">
            <v>737188.88</v>
          </cell>
          <cell r="H375">
            <v>737188.88</v>
          </cell>
        </row>
        <row r="376">
          <cell r="B376" t="str">
            <v>01-10-1085-000-100-60013</v>
          </cell>
          <cell r="C376" t="str">
            <v>Salaries-Prof - Receipting</v>
          </cell>
          <cell r="D376">
            <v>0</v>
          </cell>
          <cell r="E376">
            <v>110878.2</v>
          </cell>
          <cell r="F376">
            <v>0</v>
          </cell>
          <cell r="G376">
            <v>110878.2</v>
          </cell>
          <cell r="H376">
            <v>110878.2</v>
          </cell>
        </row>
        <row r="377">
          <cell r="B377" t="str">
            <v>01-10-1085-000-100-60015</v>
          </cell>
          <cell r="C377" t="str">
            <v>Salaries-Technical - Receipting</v>
          </cell>
          <cell r="D377">
            <v>0</v>
          </cell>
          <cell r="E377">
            <v>96978.72</v>
          </cell>
          <cell r="F377">
            <v>96978.72</v>
          </cell>
          <cell r="G377">
            <v>0</v>
          </cell>
          <cell r="H377">
            <v>0</v>
          </cell>
        </row>
        <row r="378">
          <cell r="B378" t="str">
            <v>01-10-1085-000-100-60018</v>
          </cell>
          <cell r="C378" t="str">
            <v>Salaries-Clerical - Receipting</v>
          </cell>
          <cell r="D378">
            <v>0</v>
          </cell>
          <cell r="E378">
            <v>508137.71</v>
          </cell>
          <cell r="F378">
            <v>156317.13</v>
          </cell>
          <cell r="G378">
            <v>351820.58</v>
          </cell>
          <cell r="H378">
            <v>351820.58</v>
          </cell>
        </row>
        <row r="379">
          <cell r="B379" t="str">
            <v>01-10-1085-000-100-63310</v>
          </cell>
          <cell r="C379" t="str">
            <v>Severence Expense - Receipting</v>
          </cell>
          <cell r="D379">
            <v>0</v>
          </cell>
          <cell r="E379">
            <v>1313.6</v>
          </cell>
          <cell r="F379">
            <v>0</v>
          </cell>
          <cell r="G379">
            <v>1313.6</v>
          </cell>
          <cell r="H379">
            <v>1313.6</v>
          </cell>
        </row>
        <row r="380">
          <cell r="B380" t="str">
            <v>01-10-1085-000-100-63500</v>
          </cell>
          <cell r="C380" t="str">
            <v>Overtime-UNMMG-Receipting</v>
          </cell>
          <cell r="D380">
            <v>0</v>
          </cell>
          <cell r="E380">
            <v>6144.03</v>
          </cell>
          <cell r="F380">
            <v>9.8800000000000008</v>
          </cell>
          <cell r="G380">
            <v>6134.15</v>
          </cell>
          <cell r="H380">
            <v>6134.15</v>
          </cell>
        </row>
        <row r="381">
          <cell r="B381" t="str">
            <v>01-10-1085-000-100-63505</v>
          </cell>
          <cell r="C381" t="str">
            <v>Overtime-UNM-Receipting</v>
          </cell>
          <cell r="D381">
            <v>0</v>
          </cell>
          <cell r="E381">
            <v>126.79</v>
          </cell>
          <cell r="F381">
            <v>0</v>
          </cell>
          <cell r="G381">
            <v>126.79</v>
          </cell>
          <cell r="H381">
            <v>126.79</v>
          </cell>
        </row>
        <row r="382">
          <cell r="B382" t="str">
            <v>01-10-1085-000-100-64050</v>
          </cell>
          <cell r="C382" t="str">
            <v>Emp Benefits-UNM - Receipting</v>
          </cell>
          <cell r="D382">
            <v>0</v>
          </cell>
          <cell r="E382">
            <v>90999.97</v>
          </cell>
          <cell r="F382">
            <v>31717.919999999998</v>
          </cell>
          <cell r="G382">
            <v>59282.05</v>
          </cell>
          <cell r="H382">
            <v>59282.05</v>
          </cell>
        </row>
        <row r="383">
          <cell r="B383" t="str">
            <v>01-10-1085-000-100-64055</v>
          </cell>
          <cell r="C383" t="str">
            <v>Employee Benefits UNMMG - Receipting</v>
          </cell>
          <cell r="D383">
            <v>0</v>
          </cell>
          <cell r="E383">
            <v>58282.75</v>
          </cell>
          <cell r="F383">
            <v>60543.46</v>
          </cell>
          <cell r="G383">
            <v>-2260.71</v>
          </cell>
          <cell r="H383">
            <v>-2260.71</v>
          </cell>
        </row>
        <row r="384">
          <cell r="B384" t="str">
            <v>01-10-1085-000-100-65005</v>
          </cell>
          <cell r="C384" t="str">
            <v>Emp Benefits-STD - Receipting</v>
          </cell>
          <cell r="D384">
            <v>0</v>
          </cell>
          <cell r="E384">
            <v>1160.99</v>
          </cell>
          <cell r="F384">
            <v>0</v>
          </cell>
          <cell r="G384">
            <v>1160.99</v>
          </cell>
          <cell r="H384">
            <v>1160.99</v>
          </cell>
        </row>
        <row r="385">
          <cell r="B385" t="str">
            <v>01-10-1085-000-100-65008</v>
          </cell>
          <cell r="C385" t="str">
            <v>Emp Benefits-Tuition - Receipting</v>
          </cell>
          <cell r="D385">
            <v>0</v>
          </cell>
          <cell r="E385">
            <v>1595</v>
          </cell>
          <cell r="F385">
            <v>0</v>
          </cell>
          <cell r="G385">
            <v>1595</v>
          </cell>
          <cell r="H385">
            <v>1595</v>
          </cell>
        </row>
        <row r="386">
          <cell r="B386" t="str">
            <v>01-10-1085-000-100-67025</v>
          </cell>
          <cell r="C386" t="str">
            <v>ER 403(b) - Receipting</v>
          </cell>
          <cell r="D386">
            <v>0</v>
          </cell>
          <cell r="E386">
            <v>16411.05</v>
          </cell>
          <cell r="F386">
            <v>0</v>
          </cell>
          <cell r="G386">
            <v>16411.05</v>
          </cell>
          <cell r="H386">
            <v>16411.05</v>
          </cell>
        </row>
        <row r="387">
          <cell r="B387" t="str">
            <v>01-10-1085-000-100-67030</v>
          </cell>
          <cell r="C387" t="str">
            <v>ER Hlth Dental &amp; Vision - Receipting</v>
          </cell>
          <cell r="D387">
            <v>0</v>
          </cell>
          <cell r="E387">
            <v>34123.89</v>
          </cell>
          <cell r="F387">
            <v>0</v>
          </cell>
          <cell r="G387">
            <v>34123.89</v>
          </cell>
          <cell r="H387">
            <v>34123.89</v>
          </cell>
        </row>
        <row r="388">
          <cell r="B388" t="str">
            <v>01-10-1085-000-100-67050</v>
          </cell>
          <cell r="C388" t="str">
            <v>ER Life Ins - Receipting</v>
          </cell>
          <cell r="D388">
            <v>0</v>
          </cell>
          <cell r="E388">
            <v>463.38</v>
          </cell>
          <cell r="F388">
            <v>0</v>
          </cell>
          <cell r="G388">
            <v>463.38</v>
          </cell>
          <cell r="H388">
            <v>463.38</v>
          </cell>
        </row>
        <row r="389">
          <cell r="B389" t="str">
            <v>01-10-1085-000-100-67100</v>
          </cell>
          <cell r="C389" t="str">
            <v>ER Fica_Mcare - Receipting</v>
          </cell>
          <cell r="D389">
            <v>0</v>
          </cell>
          <cell r="E389">
            <v>20754.439999999999</v>
          </cell>
          <cell r="F389">
            <v>0</v>
          </cell>
          <cell r="G389">
            <v>20754.439999999999</v>
          </cell>
          <cell r="H389">
            <v>20754.439999999999</v>
          </cell>
        </row>
        <row r="390">
          <cell r="B390" t="str">
            <v>01-10-1085-000-100-67105</v>
          </cell>
          <cell r="C390" t="str">
            <v>ER FUI - Receipting</v>
          </cell>
          <cell r="D390">
            <v>0</v>
          </cell>
          <cell r="E390">
            <v>658.47</v>
          </cell>
          <cell r="F390">
            <v>0</v>
          </cell>
          <cell r="G390">
            <v>658.47</v>
          </cell>
          <cell r="H390">
            <v>658.47</v>
          </cell>
        </row>
        <row r="391">
          <cell r="B391" t="str">
            <v>01-10-1085-000-100-67110</v>
          </cell>
          <cell r="C391" t="str">
            <v>ER SUI - Receipting</v>
          </cell>
          <cell r="D391">
            <v>0</v>
          </cell>
          <cell r="E391">
            <v>4347</v>
          </cell>
          <cell r="F391">
            <v>0</v>
          </cell>
          <cell r="G391">
            <v>4347</v>
          </cell>
          <cell r="H391">
            <v>4347</v>
          </cell>
        </row>
        <row r="392">
          <cell r="B392" t="str">
            <v>01-10-1085-000-100-67120</v>
          </cell>
          <cell r="C392" t="str">
            <v>Worker's Comp Fee - Receipting</v>
          </cell>
          <cell r="D392">
            <v>0</v>
          </cell>
          <cell r="E392">
            <v>44.83</v>
          </cell>
          <cell r="F392">
            <v>0</v>
          </cell>
          <cell r="G392">
            <v>44.83</v>
          </cell>
          <cell r="H392">
            <v>44.83</v>
          </cell>
        </row>
        <row r="393">
          <cell r="B393" t="str">
            <v>01-10-1085-000-100-70025</v>
          </cell>
          <cell r="C393" t="str">
            <v>Books &amp; Publications - Receipting</v>
          </cell>
          <cell r="D393">
            <v>0</v>
          </cell>
          <cell r="E393">
            <v>80.5</v>
          </cell>
          <cell r="F393">
            <v>0</v>
          </cell>
          <cell r="G393">
            <v>80.5</v>
          </cell>
          <cell r="H393">
            <v>80.5</v>
          </cell>
        </row>
        <row r="394">
          <cell r="B394" t="str">
            <v>01-10-1085-000-100-70028</v>
          </cell>
          <cell r="C394" t="str">
            <v>Copier - Receipting</v>
          </cell>
          <cell r="D394">
            <v>0</v>
          </cell>
          <cell r="E394">
            <v>10700.45</v>
          </cell>
          <cell r="F394">
            <v>385.96</v>
          </cell>
          <cell r="G394">
            <v>10314.49</v>
          </cell>
          <cell r="H394">
            <v>10314.49</v>
          </cell>
        </row>
        <row r="395">
          <cell r="B395" t="str">
            <v>01-10-1085-000-100-70030</v>
          </cell>
          <cell r="C395" t="str">
            <v>Dues &amp; Memberships - Receipting</v>
          </cell>
          <cell r="D395">
            <v>0</v>
          </cell>
          <cell r="E395">
            <v>365</v>
          </cell>
          <cell r="F395">
            <v>0</v>
          </cell>
          <cell r="G395">
            <v>365</v>
          </cell>
          <cell r="H395">
            <v>365</v>
          </cell>
        </row>
        <row r="396">
          <cell r="B396" t="str">
            <v>01-10-1085-000-100-70040</v>
          </cell>
          <cell r="C396" t="str">
            <v>Materials &amp; Services - Receipting</v>
          </cell>
          <cell r="D396">
            <v>0</v>
          </cell>
          <cell r="E396">
            <v>57.73</v>
          </cell>
          <cell r="F396">
            <v>0</v>
          </cell>
          <cell r="G396">
            <v>57.73</v>
          </cell>
          <cell r="H396">
            <v>57.73</v>
          </cell>
        </row>
        <row r="397">
          <cell r="B397" t="str">
            <v>01-10-1085-000-100-70055</v>
          </cell>
          <cell r="C397" t="str">
            <v>Postage &amp; Shipping - Receipting</v>
          </cell>
          <cell r="D397">
            <v>0</v>
          </cell>
          <cell r="E397">
            <v>8122.23</v>
          </cell>
          <cell r="F397">
            <v>437.76</v>
          </cell>
          <cell r="G397">
            <v>7684.47</v>
          </cell>
          <cell r="H397">
            <v>7684.47</v>
          </cell>
        </row>
        <row r="398">
          <cell r="B398" t="str">
            <v>01-10-1085-000-100-70090</v>
          </cell>
          <cell r="C398" t="str">
            <v>Travel - Receipting</v>
          </cell>
          <cell r="D398">
            <v>0</v>
          </cell>
          <cell r="E398">
            <v>699.71</v>
          </cell>
          <cell r="F398">
            <v>0</v>
          </cell>
          <cell r="G398">
            <v>699.71</v>
          </cell>
          <cell r="H398">
            <v>699.71</v>
          </cell>
        </row>
        <row r="399">
          <cell r="B399" t="str">
            <v>01-10-1085-000-100-70100</v>
          </cell>
          <cell r="C399" t="str">
            <v>Office Supplies - Receipting</v>
          </cell>
          <cell r="D399">
            <v>0</v>
          </cell>
          <cell r="E399">
            <v>7345.33</v>
          </cell>
          <cell r="F399">
            <v>79.56</v>
          </cell>
          <cell r="G399">
            <v>7265.77</v>
          </cell>
          <cell r="H399">
            <v>7265.77</v>
          </cell>
        </row>
        <row r="400">
          <cell r="B400" t="str">
            <v>01-10-1085-000-100-70300</v>
          </cell>
          <cell r="C400" t="str">
            <v>Claims Support - Receipting</v>
          </cell>
          <cell r="D400">
            <v>0</v>
          </cell>
          <cell r="E400">
            <v>259282.3</v>
          </cell>
          <cell r="F400">
            <v>99150</v>
          </cell>
          <cell r="G400">
            <v>160132.29999999999</v>
          </cell>
          <cell r="H400">
            <v>160132.29999999999</v>
          </cell>
        </row>
        <row r="401">
          <cell r="B401" t="str">
            <v>01-10-1085-000-100-70550</v>
          </cell>
          <cell r="C401" t="str">
            <v>Furn Fix &amp; Remodel - Receipting</v>
          </cell>
          <cell r="D401">
            <v>0</v>
          </cell>
          <cell r="E401">
            <v>1286.06</v>
          </cell>
          <cell r="F401">
            <v>0</v>
          </cell>
          <cell r="G401">
            <v>1286.06</v>
          </cell>
          <cell r="H401">
            <v>1286.06</v>
          </cell>
        </row>
        <row r="402">
          <cell r="B402" t="str">
            <v>01-10-1085-000-100-71020</v>
          </cell>
          <cell r="C402" t="str">
            <v>Storage - Receipting</v>
          </cell>
          <cell r="D402">
            <v>0</v>
          </cell>
          <cell r="E402">
            <v>495.76</v>
          </cell>
          <cell r="F402">
            <v>217.27</v>
          </cell>
          <cell r="G402">
            <v>278.49</v>
          </cell>
          <cell r="H402">
            <v>278.49</v>
          </cell>
        </row>
        <row r="403">
          <cell r="B403" t="str">
            <v>01-10-1085-000-100-72030</v>
          </cell>
          <cell r="C403" t="str">
            <v>Recycling - Receipting</v>
          </cell>
          <cell r="D403">
            <v>0</v>
          </cell>
          <cell r="E403">
            <v>811.6</v>
          </cell>
          <cell r="F403">
            <v>0</v>
          </cell>
          <cell r="G403">
            <v>811.6</v>
          </cell>
          <cell r="H403">
            <v>811.6</v>
          </cell>
        </row>
        <row r="404">
          <cell r="B404" t="str">
            <v>01-10-1085-000-100-72035</v>
          </cell>
          <cell r="C404" t="str">
            <v>Phone - Receipting</v>
          </cell>
          <cell r="D404">
            <v>0</v>
          </cell>
          <cell r="E404">
            <v>1229.24</v>
          </cell>
          <cell r="F404">
            <v>0</v>
          </cell>
          <cell r="G404">
            <v>1229.24</v>
          </cell>
          <cell r="H404">
            <v>1229.24</v>
          </cell>
        </row>
        <row r="405">
          <cell r="B405" t="str">
            <v>01-10-1085-000-100-72040</v>
          </cell>
          <cell r="C405" t="str">
            <v>Water - Receipting</v>
          </cell>
          <cell r="D405">
            <v>0</v>
          </cell>
          <cell r="E405">
            <v>326.02999999999997</v>
          </cell>
          <cell r="F405">
            <v>0</v>
          </cell>
          <cell r="G405">
            <v>326.02999999999997</v>
          </cell>
          <cell r="H405">
            <v>326.02999999999997</v>
          </cell>
        </row>
        <row r="406">
          <cell r="B406" t="str">
            <v>01-10-1085-000-100-98006</v>
          </cell>
          <cell r="C406" t="str">
            <v>FTEs-Dir/Mgr-UNM-Receipting</v>
          </cell>
          <cell r="D406">
            <v>0</v>
          </cell>
          <cell r="E406">
            <v>28</v>
          </cell>
          <cell r="F406">
            <v>28</v>
          </cell>
          <cell r="G406">
            <v>0</v>
          </cell>
          <cell r="H406">
            <v>0</v>
          </cell>
        </row>
        <row r="407">
          <cell r="B407" t="str">
            <v>01-10-1085-000-100-98014</v>
          </cell>
          <cell r="C407" t="str">
            <v>FTEs-Prof-UNM-Receipting</v>
          </cell>
          <cell r="D407">
            <v>0</v>
          </cell>
          <cell r="E407">
            <v>3</v>
          </cell>
          <cell r="F407">
            <v>3</v>
          </cell>
          <cell r="G407">
            <v>0</v>
          </cell>
          <cell r="H407">
            <v>0</v>
          </cell>
        </row>
        <row r="408">
          <cell r="B408" t="str">
            <v>01-10-1085-000-100-98018</v>
          </cell>
          <cell r="C408" t="str">
            <v>FTEs-Clerical-UNMMG-Receipting</v>
          </cell>
          <cell r="D408">
            <v>0</v>
          </cell>
          <cell r="E408">
            <v>116</v>
          </cell>
          <cell r="F408">
            <v>116</v>
          </cell>
          <cell r="G408">
            <v>0</v>
          </cell>
          <cell r="H408">
            <v>0</v>
          </cell>
        </row>
        <row r="409">
          <cell r="B409" t="str">
            <v>01-10-1085-000-100-98019</v>
          </cell>
          <cell r="C409" t="str">
            <v>FTEs-Clerical-UNM-Receipting</v>
          </cell>
          <cell r="D409">
            <v>0</v>
          </cell>
          <cell r="E409">
            <v>31</v>
          </cell>
          <cell r="F409">
            <v>31</v>
          </cell>
          <cell r="G409">
            <v>0</v>
          </cell>
          <cell r="H409">
            <v>0</v>
          </cell>
        </row>
        <row r="410">
          <cell r="B410" t="str">
            <v>01-10-1100-000-000-35010</v>
          </cell>
          <cell r="C410" t="str">
            <v>Prior Yr Fund Balance-Strategic Plan</v>
          </cell>
          <cell r="D410">
            <v>0</v>
          </cell>
          <cell r="E410">
            <v>198200.08</v>
          </cell>
          <cell r="F410">
            <v>0</v>
          </cell>
          <cell r="G410">
            <v>198200.08</v>
          </cell>
          <cell r="H410">
            <v>198200.08</v>
          </cell>
        </row>
        <row r="411">
          <cell r="B411" t="str">
            <v>01-10-1100-000-100-60005</v>
          </cell>
          <cell r="C411" t="str">
            <v>Salaries-Dir Mgr - Strategic Plan</v>
          </cell>
          <cell r="D411">
            <v>0</v>
          </cell>
          <cell r="E411">
            <v>179438.52</v>
          </cell>
          <cell r="F411">
            <v>0</v>
          </cell>
          <cell r="G411">
            <v>179438.52</v>
          </cell>
          <cell r="H411">
            <v>179438.52</v>
          </cell>
        </row>
        <row r="412">
          <cell r="B412" t="str">
            <v>01-10-1100-000-100-60013</v>
          </cell>
          <cell r="C412" t="str">
            <v>Salaries-Prof - Strategic Plan</v>
          </cell>
          <cell r="D412">
            <v>0</v>
          </cell>
          <cell r="E412">
            <v>69284.759999999995</v>
          </cell>
          <cell r="F412">
            <v>0</v>
          </cell>
          <cell r="G412">
            <v>69284.759999999995</v>
          </cell>
          <cell r="H412">
            <v>69284.759999999995</v>
          </cell>
        </row>
        <row r="413">
          <cell r="B413" t="str">
            <v>01-10-1100-000-100-63300</v>
          </cell>
          <cell r="C413" t="str">
            <v>Bonus Expense - Strategic Plan</v>
          </cell>
          <cell r="D413">
            <v>0</v>
          </cell>
          <cell r="E413">
            <v>13970</v>
          </cell>
          <cell r="F413">
            <v>6480</v>
          </cell>
          <cell r="G413">
            <v>7490</v>
          </cell>
          <cell r="H413">
            <v>7490</v>
          </cell>
        </row>
        <row r="414">
          <cell r="B414" t="str">
            <v>01-10-1100-000-100-64015</v>
          </cell>
          <cell r="C414" t="str">
            <v>Billed to SC Salaries- Strategic Planning</v>
          </cell>
          <cell r="D414">
            <v>0</v>
          </cell>
          <cell r="E414">
            <v>16572.8</v>
          </cell>
          <cell r="F414">
            <v>182261.6</v>
          </cell>
          <cell r="G414">
            <v>-165688.79999999999</v>
          </cell>
          <cell r="H414">
            <v>-165688.79999999999</v>
          </cell>
        </row>
        <row r="415">
          <cell r="B415" t="str">
            <v>01-10-1100-000-100-64055</v>
          </cell>
          <cell r="C415" t="str">
            <v>Employee Benefits UNMMG - Strategic Plan</v>
          </cell>
          <cell r="D415">
            <v>0</v>
          </cell>
          <cell r="E415">
            <v>18227.05</v>
          </cell>
          <cell r="F415">
            <v>19636.13</v>
          </cell>
          <cell r="G415">
            <v>-1409.08</v>
          </cell>
          <cell r="H415">
            <v>-1409.08</v>
          </cell>
        </row>
        <row r="416">
          <cell r="B416" t="str">
            <v>01-10-1100-000-100-65005</v>
          </cell>
          <cell r="C416" t="str">
            <v>Emp Benefits-STD - Strategic Plan</v>
          </cell>
          <cell r="D416">
            <v>0</v>
          </cell>
          <cell r="E416">
            <v>855.36</v>
          </cell>
          <cell r="F416">
            <v>0</v>
          </cell>
          <cell r="G416">
            <v>855.36</v>
          </cell>
          <cell r="H416">
            <v>855.36</v>
          </cell>
        </row>
        <row r="417">
          <cell r="B417" t="str">
            <v>01-10-1100-000-100-65008</v>
          </cell>
          <cell r="C417" t="str">
            <v>Emp Benefits-Tuition - Strategic Plan</v>
          </cell>
          <cell r="D417">
            <v>0</v>
          </cell>
          <cell r="E417">
            <v>1100</v>
          </cell>
          <cell r="F417">
            <v>61.8</v>
          </cell>
          <cell r="G417">
            <v>1038.2</v>
          </cell>
          <cell r="H417">
            <v>1038.2</v>
          </cell>
        </row>
        <row r="418">
          <cell r="B418" t="str">
            <v>01-10-1100-000-100-65010</v>
          </cell>
          <cell r="C418" t="str">
            <v>Emp Benefits- Misc EE Benefits - Strategic Plan</v>
          </cell>
          <cell r="D418">
            <v>0</v>
          </cell>
          <cell r="E418">
            <v>400</v>
          </cell>
          <cell r="F418">
            <v>0</v>
          </cell>
          <cell r="G418">
            <v>400</v>
          </cell>
          <cell r="H418">
            <v>400</v>
          </cell>
        </row>
        <row r="419">
          <cell r="B419" t="str">
            <v>01-10-1100-000-100-67025</v>
          </cell>
          <cell r="C419" t="str">
            <v>ER 403(b) - Strategic Plan</v>
          </cell>
          <cell r="D419">
            <v>0</v>
          </cell>
          <cell r="E419">
            <v>20576.03</v>
          </cell>
          <cell r="F419">
            <v>0</v>
          </cell>
          <cell r="G419">
            <v>20576.03</v>
          </cell>
          <cell r="H419">
            <v>20576.03</v>
          </cell>
        </row>
        <row r="420">
          <cell r="B420" t="str">
            <v>01-10-1100-000-100-67030</v>
          </cell>
          <cell r="C420" t="str">
            <v>ER Hlth Dental &amp; Vision - Strategic Plan</v>
          </cell>
          <cell r="D420">
            <v>0</v>
          </cell>
          <cell r="E420">
            <v>10301.52</v>
          </cell>
          <cell r="F420">
            <v>0</v>
          </cell>
          <cell r="G420">
            <v>10301.52</v>
          </cell>
          <cell r="H420">
            <v>10301.52</v>
          </cell>
        </row>
        <row r="421">
          <cell r="B421" t="str">
            <v>01-10-1100-000-100-67050</v>
          </cell>
          <cell r="C421" t="str">
            <v>ER Life Ins - Strategic Plan</v>
          </cell>
          <cell r="D421">
            <v>0</v>
          </cell>
          <cell r="E421">
            <v>452.64</v>
          </cell>
          <cell r="F421">
            <v>0</v>
          </cell>
          <cell r="G421">
            <v>452.64</v>
          </cell>
          <cell r="H421">
            <v>452.64</v>
          </cell>
        </row>
        <row r="422">
          <cell r="B422" t="str">
            <v>01-10-1100-000-100-67100</v>
          </cell>
          <cell r="C422" t="str">
            <v>ER Fica_Mcare - Strategic Plan</v>
          </cell>
          <cell r="D422">
            <v>0</v>
          </cell>
          <cell r="E422">
            <v>14540.03</v>
          </cell>
          <cell r="F422">
            <v>0</v>
          </cell>
          <cell r="G422">
            <v>14540.03</v>
          </cell>
          <cell r="H422">
            <v>14540.03</v>
          </cell>
        </row>
        <row r="423">
          <cell r="B423" t="str">
            <v>01-10-1100-000-100-67105</v>
          </cell>
          <cell r="C423" t="str">
            <v>ER FUI - Strategic Plan</v>
          </cell>
          <cell r="D423">
            <v>0</v>
          </cell>
          <cell r="E423">
            <v>112</v>
          </cell>
          <cell r="F423">
            <v>0</v>
          </cell>
          <cell r="G423">
            <v>112</v>
          </cell>
          <cell r="H423">
            <v>112</v>
          </cell>
        </row>
        <row r="424">
          <cell r="B424" t="str">
            <v>01-10-1100-000-100-67110</v>
          </cell>
          <cell r="C424" t="str">
            <v>ER SUI - Strategic Plan</v>
          </cell>
          <cell r="D424">
            <v>0</v>
          </cell>
          <cell r="E424">
            <v>876</v>
          </cell>
          <cell r="F424">
            <v>0</v>
          </cell>
          <cell r="G424">
            <v>876</v>
          </cell>
          <cell r="H424">
            <v>876</v>
          </cell>
        </row>
        <row r="425">
          <cell r="B425" t="str">
            <v>01-10-1100-000-100-67120</v>
          </cell>
          <cell r="C425" t="str">
            <v>Worker's Comp Fee - Strategic Plan</v>
          </cell>
          <cell r="D425">
            <v>0</v>
          </cell>
          <cell r="E425">
            <v>4.67</v>
          </cell>
          <cell r="F425">
            <v>0</v>
          </cell>
          <cell r="G425">
            <v>4.67</v>
          </cell>
          <cell r="H425">
            <v>4.67</v>
          </cell>
        </row>
        <row r="426">
          <cell r="B426" t="str">
            <v>01-10-1100-000-100-70025</v>
          </cell>
          <cell r="C426" t="str">
            <v>Books &amp; Publications - Strategic Plan</v>
          </cell>
          <cell r="D426">
            <v>0</v>
          </cell>
          <cell r="E426">
            <v>160</v>
          </cell>
          <cell r="F426">
            <v>0</v>
          </cell>
          <cell r="G426">
            <v>160</v>
          </cell>
          <cell r="H426">
            <v>160</v>
          </cell>
        </row>
        <row r="427">
          <cell r="B427" t="str">
            <v>01-10-1100-000-100-70028</v>
          </cell>
          <cell r="C427" t="str">
            <v>Copier - Strategic Plan</v>
          </cell>
          <cell r="D427">
            <v>0</v>
          </cell>
          <cell r="E427">
            <v>2107.84</v>
          </cell>
          <cell r="F427">
            <v>40.200000000000003</v>
          </cell>
          <cell r="G427">
            <v>2067.64</v>
          </cell>
          <cell r="H427">
            <v>2067.64</v>
          </cell>
        </row>
        <row r="428">
          <cell r="B428" t="str">
            <v>01-10-1100-000-100-70030</v>
          </cell>
          <cell r="C428" t="str">
            <v>Dues &amp; Memberships - Strategic Plan</v>
          </cell>
          <cell r="D428">
            <v>0</v>
          </cell>
          <cell r="E428">
            <v>371</v>
          </cell>
          <cell r="F428">
            <v>0</v>
          </cell>
          <cell r="G428">
            <v>371</v>
          </cell>
          <cell r="H428">
            <v>371</v>
          </cell>
        </row>
        <row r="429">
          <cell r="B429" t="str">
            <v>01-10-1100-000-100-70045</v>
          </cell>
          <cell r="C429" t="str">
            <v>Meetings &amp; Conferences - Strategic Plan</v>
          </cell>
          <cell r="D429">
            <v>0</v>
          </cell>
          <cell r="E429">
            <v>1423.16</v>
          </cell>
          <cell r="F429">
            <v>1304.97</v>
          </cell>
          <cell r="G429">
            <v>118.19</v>
          </cell>
          <cell r="H429">
            <v>118.19</v>
          </cell>
        </row>
        <row r="430">
          <cell r="B430" t="str">
            <v>01-10-1100-000-100-70055</v>
          </cell>
          <cell r="C430" t="str">
            <v>Postage &amp; Shipping - Strategic Plan</v>
          </cell>
          <cell r="D430">
            <v>0</v>
          </cell>
          <cell r="E430">
            <v>587.21</v>
          </cell>
          <cell r="F430">
            <v>21.44</v>
          </cell>
          <cell r="G430">
            <v>565.77</v>
          </cell>
          <cell r="H430">
            <v>565.77</v>
          </cell>
        </row>
        <row r="431">
          <cell r="B431" t="str">
            <v>01-10-1100-000-100-70075</v>
          </cell>
          <cell r="C431" t="str">
            <v>Staff Dev - Strategic Plan</v>
          </cell>
          <cell r="D431">
            <v>0</v>
          </cell>
          <cell r="E431">
            <v>2829</v>
          </cell>
          <cell r="F431">
            <v>0</v>
          </cell>
          <cell r="G431">
            <v>2829</v>
          </cell>
          <cell r="H431">
            <v>2829</v>
          </cell>
        </row>
        <row r="432">
          <cell r="B432" t="str">
            <v>01-10-1100-000-100-70090</v>
          </cell>
          <cell r="C432" t="str">
            <v>Travel - Strategic Plan</v>
          </cell>
          <cell r="D432">
            <v>0</v>
          </cell>
          <cell r="E432">
            <v>1838.87</v>
          </cell>
          <cell r="F432">
            <v>0</v>
          </cell>
          <cell r="G432">
            <v>1838.87</v>
          </cell>
          <cell r="H432">
            <v>1838.87</v>
          </cell>
        </row>
        <row r="433">
          <cell r="B433" t="str">
            <v>01-10-1100-000-100-70095</v>
          </cell>
          <cell r="C433" t="str">
            <v>Mileage - Strategic Plan</v>
          </cell>
          <cell r="D433">
            <v>0</v>
          </cell>
          <cell r="E433">
            <v>46.37</v>
          </cell>
          <cell r="F433">
            <v>0</v>
          </cell>
          <cell r="G433">
            <v>46.37</v>
          </cell>
          <cell r="H433">
            <v>46.37</v>
          </cell>
        </row>
        <row r="434">
          <cell r="B434" t="str">
            <v>01-10-1100-000-100-70100</v>
          </cell>
          <cell r="C434" t="str">
            <v>Office Supplies - Strategic Plan</v>
          </cell>
          <cell r="D434">
            <v>0</v>
          </cell>
          <cell r="E434">
            <v>606.98</v>
          </cell>
          <cell r="F434">
            <v>6.96</v>
          </cell>
          <cell r="G434">
            <v>600.02</v>
          </cell>
          <cell r="H434">
            <v>600.02</v>
          </cell>
        </row>
        <row r="435">
          <cell r="B435" t="str">
            <v>01-10-1100-000-100-71020</v>
          </cell>
          <cell r="C435" t="str">
            <v>Storage - Strategic Plan</v>
          </cell>
          <cell r="D435">
            <v>0</v>
          </cell>
          <cell r="E435">
            <v>49.3</v>
          </cell>
          <cell r="F435">
            <v>20.9</v>
          </cell>
          <cell r="G435">
            <v>28.4</v>
          </cell>
          <cell r="H435">
            <v>28.4</v>
          </cell>
        </row>
        <row r="436">
          <cell r="B436" t="str">
            <v>01-10-1100-000-100-72030</v>
          </cell>
          <cell r="C436" t="str">
            <v>Recycling - Strategic Plan</v>
          </cell>
          <cell r="D436">
            <v>0</v>
          </cell>
          <cell r="E436">
            <v>178.26</v>
          </cell>
          <cell r="F436">
            <v>0</v>
          </cell>
          <cell r="G436">
            <v>178.26</v>
          </cell>
          <cell r="H436">
            <v>178.26</v>
          </cell>
        </row>
        <row r="437">
          <cell r="B437" t="str">
            <v>01-10-1100-000-100-72035</v>
          </cell>
          <cell r="C437" t="str">
            <v>Phone - Strategic Plan</v>
          </cell>
          <cell r="D437">
            <v>0</v>
          </cell>
          <cell r="E437">
            <v>1301.03</v>
          </cell>
          <cell r="F437">
            <v>0</v>
          </cell>
          <cell r="G437">
            <v>1301.03</v>
          </cell>
          <cell r="H437">
            <v>1301.03</v>
          </cell>
        </row>
        <row r="438">
          <cell r="B438" t="str">
            <v>01-10-1100-000-100-72040</v>
          </cell>
          <cell r="C438" t="str">
            <v>Water - Strategic Plan</v>
          </cell>
          <cell r="D438">
            <v>0</v>
          </cell>
          <cell r="E438">
            <v>69.36</v>
          </cell>
          <cell r="F438">
            <v>0</v>
          </cell>
          <cell r="G438">
            <v>69.36</v>
          </cell>
          <cell r="H438">
            <v>69.36</v>
          </cell>
        </row>
        <row r="439">
          <cell r="B439" t="str">
            <v>01-10-1100-000-100-98005</v>
          </cell>
          <cell r="C439" t="str">
            <v>FTEs-Dir Mgr-UNMMG-Strat Plan</v>
          </cell>
          <cell r="D439">
            <v>0</v>
          </cell>
          <cell r="E439">
            <v>14</v>
          </cell>
          <cell r="F439">
            <v>14</v>
          </cell>
          <cell r="G439">
            <v>0</v>
          </cell>
          <cell r="H439">
            <v>0</v>
          </cell>
        </row>
        <row r="440">
          <cell r="B440" t="str">
            <v>01-10-1100-000-100-98013</v>
          </cell>
          <cell r="C440" t="str">
            <v>FTEs-Prof-UNMMG-Strategic Plan</v>
          </cell>
          <cell r="D440">
            <v>0</v>
          </cell>
          <cell r="E440">
            <v>3.5</v>
          </cell>
          <cell r="F440">
            <v>3.5</v>
          </cell>
          <cell r="G440">
            <v>0</v>
          </cell>
          <cell r="H440">
            <v>0</v>
          </cell>
        </row>
        <row r="441">
          <cell r="B441" t="str">
            <v>01-10-1120-000-000-35010</v>
          </cell>
          <cell r="C441" t="str">
            <v>Prior Yr Fund Balance-Bus Ops</v>
          </cell>
          <cell r="D441">
            <v>0</v>
          </cell>
          <cell r="E441">
            <v>350372.01</v>
          </cell>
          <cell r="F441">
            <v>0</v>
          </cell>
          <cell r="G441">
            <v>350372.01</v>
          </cell>
          <cell r="H441">
            <v>350372.01</v>
          </cell>
        </row>
        <row r="442">
          <cell r="B442" t="str">
            <v>01-10-1120-000-100-60013</v>
          </cell>
          <cell r="C442" t="str">
            <v>Salaries-Prof - Bus Ops</v>
          </cell>
          <cell r="D442">
            <v>0</v>
          </cell>
          <cell r="E442">
            <v>192363.49</v>
          </cell>
          <cell r="F442">
            <v>0</v>
          </cell>
          <cell r="G442">
            <v>192363.49</v>
          </cell>
          <cell r="H442">
            <v>192363.49</v>
          </cell>
        </row>
        <row r="443">
          <cell r="B443" t="str">
            <v>01-10-1120-000-100-60015</v>
          </cell>
          <cell r="C443" t="str">
            <v>Salaries-Technical - Bus Ops</v>
          </cell>
          <cell r="D443">
            <v>0</v>
          </cell>
          <cell r="E443">
            <v>111383.8</v>
          </cell>
          <cell r="F443">
            <v>17566.009999999998</v>
          </cell>
          <cell r="G443">
            <v>93817.79</v>
          </cell>
          <cell r="H443">
            <v>93817.79</v>
          </cell>
        </row>
        <row r="444">
          <cell r="B444" t="str">
            <v>01-10-1120-000-100-60018</v>
          </cell>
          <cell r="C444" t="str">
            <v>Salaries-Clerical - Bus Ops</v>
          </cell>
          <cell r="D444">
            <v>0</v>
          </cell>
          <cell r="E444">
            <v>21692.61</v>
          </cell>
          <cell r="F444">
            <v>22807.06</v>
          </cell>
          <cell r="G444">
            <v>-1114.45</v>
          </cell>
          <cell r="H444">
            <v>-1114.45</v>
          </cell>
        </row>
        <row r="445">
          <cell r="B445" t="str">
            <v>01-10-1120-000-100-63500</v>
          </cell>
          <cell r="C445" t="str">
            <v>Overtime-UNMMG-Bus Ops</v>
          </cell>
          <cell r="D445">
            <v>0</v>
          </cell>
          <cell r="E445">
            <v>22.87</v>
          </cell>
          <cell r="F445">
            <v>0</v>
          </cell>
          <cell r="G445">
            <v>22.87</v>
          </cell>
          <cell r="H445">
            <v>22.87</v>
          </cell>
        </row>
        <row r="446">
          <cell r="B446" t="str">
            <v>01-10-1120-000-100-64050</v>
          </cell>
          <cell r="C446" t="str">
            <v>Emp Benefits-UNM - Bus Ops</v>
          </cell>
          <cell r="D446">
            <v>0</v>
          </cell>
          <cell r="E446">
            <v>119219.95</v>
          </cell>
          <cell r="F446">
            <v>34675.120000000003</v>
          </cell>
          <cell r="G446">
            <v>84544.83</v>
          </cell>
          <cell r="H446">
            <v>84544.83</v>
          </cell>
        </row>
        <row r="447">
          <cell r="B447" t="str">
            <v>01-10-1120-000-100-64055</v>
          </cell>
          <cell r="C447" t="str">
            <v>Employee Benefits UNMMG - Bus Ops</v>
          </cell>
          <cell r="D447">
            <v>0</v>
          </cell>
          <cell r="E447">
            <v>4398.21</v>
          </cell>
          <cell r="F447">
            <v>5230.8599999999997</v>
          </cell>
          <cell r="G447">
            <v>-832.65</v>
          </cell>
          <cell r="H447">
            <v>-832.65</v>
          </cell>
        </row>
        <row r="448">
          <cell r="B448" t="str">
            <v>01-10-1120-000-100-65005</v>
          </cell>
          <cell r="C448" t="str">
            <v>Emp Benefits-STD - Bus Ops</v>
          </cell>
          <cell r="D448">
            <v>0</v>
          </cell>
          <cell r="E448">
            <v>42.54</v>
          </cell>
          <cell r="F448">
            <v>0</v>
          </cell>
          <cell r="G448">
            <v>42.54</v>
          </cell>
          <cell r="H448">
            <v>42.54</v>
          </cell>
        </row>
        <row r="449">
          <cell r="B449" t="str">
            <v>01-10-1120-000-100-67025</v>
          </cell>
          <cell r="C449" t="str">
            <v>ER 403(b) - Bus Ops</v>
          </cell>
          <cell r="D449">
            <v>0</v>
          </cell>
          <cell r="E449">
            <v>572.05999999999995</v>
          </cell>
          <cell r="F449">
            <v>0</v>
          </cell>
          <cell r="G449">
            <v>572.05999999999995</v>
          </cell>
          <cell r="H449">
            <v>572.05999999999995</v>
          </cell>
        </row>
        <row r="450">
          <cell r="B450" t="str">
            <v>01-10-1120-000-100-67030</v>
          </cell>
          <cell r="C450" t="str">
            <v>ER Hlth Dental &amp; Vision - Bus Ops</v>
          </cell>
          <cell r="D450">
            <v>0</v>
          </cell>
          <cell r="E450">
            <v>974.64</v>
          </cell>
          <cell r="F450">
            <v>0</v>
          </cell>
          <cell r="G450">
            <v>974.64</v>
          </cell>
          <cell r="H450">
            <v>974.64</v>
          </cell>
        </row>
        <row r="451">
          <cell r="B451" t="str">
            <v>01-10-1120-000-100-67050</v>
          </cell>
          <cell r="C451" t="str">
            <v>ER Life Ins - Bus Ops</v>
          </cell>
          <cell r="D451">
            <v>0</v>
          </cell>
          <cell r="E451">
            <v>34.32</v>
          </cell>
          <cell r="F451">
            <v>0</v>
          </cell>
          <cell r="G451">
            <v>34.32</v>
          </cell>
          <cell r="H451">
            <v>34.32</v>
          </cell>
        </row>
        <row r="452">
          <cell r="B452" t="str">
            <v>01-10-1120-000-100-67100</v>
          </cell>
          <cell r="C452" t="str">
            <v>ER Fica_Mcare - Bus Ops</v>
          </cell>
          <cell r="D452">
            <v>0</v>
          </cell>
          <cell r="E452">
            <v>707.81</v>
          </cell>
          <cell r="F452">
            <v>0</v>
          </cell>
          <cell r="G452">
            <v>707.81</v>
          </cell>
          <cell r="H452">
            <v>707.81</v>
          </cell>
        </row>
        <row r="453">
          <cell r="B453" t="str">
            <v>01-10-1120-000-100-67110</v>
          </cell>
          <cell r="C453" t="str">
            <v>ER SUI - Bus Ops</v>
          </cell>
          <cell r="D453">
            <v>0</v>
          </cell>
          <cell r="E453">
            <v>184.39</v>
          </cell>
          <cell r="F453">
            <v>0</v>
          </cell>
          <cell r="G453">
            <v>184.39</v>
          </cell>
          <cell r="H453">
            <v>184.39</v>
          </cell>
        </row>
        <row r="454">
          <cell r="B454" t="str">
            <v>01-10-1120-000-100-67120</v>
          </cell>
          <cell r="C454" t="str">
            <v>Worker's Comp Fee - Bus Ops</v>
          </cell>
          <cell r="D454">
            <v>0</v>
          </cell>
          <cell r="E454">
            <v>18.68</v>
          </cell>
          <cell r="F454">
            <v>0</v>
          </cell>
          <cell r="G454">
            <v>18.68</v>
          </cell>
          <cell r="H454">
            <v>18.68</v>
          </cell>
        </row>
        <row r="455">
          <cell r="B455" t="str">
            <v>01-10-1120-000-100-70025</v>
          </cell>
          <cell r="C455" t="str">
            <v>Books &amp; Publications - Bus Ops</v>
          </cell>
          <cell r="D455">
            <v>0</v>
          </cell>
          <cell r="E455">
            <v>700.38</v>
          </cell>
          <cell r="F455">
            <v>249</v>
          </cell>
          <cell r="G455">
            <v>451.38</v>
          </cell>
          <cell r="H455">
            <v>451.38</v>
          </cell>
        </row>
        <row r="456">
          <cell r="B456" t="str">
            <v>01-10-1120-000-100-70028</v>
          </cell>
          <cell r="C456" t="str">
            <v>Copier - Bus Ops</v>
          </cell>
          <cell r="D456">
            <v>0</v>
          </cell>
          <cell r="E456">
            <v>3809.12</v>
          </cell>
          <cell r="F456">
            <v>160.82</v>
          </cell>
          <cell r="G456">
            <v>3648.3</v>
          </cell>
          <cell r="H456">
            <v>3648.3</v>
          </cell>
        </row>
        <row r="457">
          <cell r="B457" t="str">
            <v>01-10-1120-000-100-70030</v>
          </cell>
          <cell r="C457" t="str">
            <v>Dues &amp; Memberships - Bus Ops</v>
          </cell>
          <cell r="D457">
            <v>0</v>
          </cell>
          <cell r="E457">
            <v>3051.06</v>
          </cell>
          <cell r="F457">
            <v>0</v>
          </cell>
          <cell r="G457">
            <v>3051.06</v>
          </cell>
          <cell r="H457">
            <v>3051.06</v>
          </cell>
        </row>
        <row r="458">
          <cell r="B458" t="str">
            <v>01-10-1120-000-100-70040</v>
          </cell>
          <cell r="C458" t="str">
            <v>Materials &amp; Services - Bus Ops</v>
          </cell>
          <cell r="D458">
            <v>0</v>
          </cell>
          <cell r="E458">
            <v>35</v>
          </cell>
          <cell r="F458">
            <v>0</v>
          </cell>
          <cell r="G458">
            <v>35</v>
          </cell>
          <cell r="H458">
            <v>35</v>
          </cell>
        </row>
        <row r="459">
          <cell r="B459" t="str">
            <v>01-10-1120-000-100-70045</v>
          </cell>
          <cell r="C459" t="str">
            <v>Meetings &amp; Conferences - Bus Ops</v>
          </cell>
          <cell r="D459">
            <v>0</v>
          </cell>
          <cell r="E459">
            <v>55.79</v>
          </cell>
          <cell r="F459">
            <v>0</v>
          </cell>
          <cell r="G459">
            <v>55.79</v>
          </cell>
          <cell r="H459">
            <v>55.79</v>
          </cell>
        </row>
        <row r="460">
          <cell r="B460" t="str">
            <v>01-10-1120-000-100-70055</v>
          </cell>
          <cell r="C460" t="str">
            <v>Postage &amp; Shipping - Bus Ops</v>
          </cell>
          <cell r="D460">
            <v>0</v>
          </cell>
          <cell r="E460">
            <v>599.39</v>
          </cell>
          <cell r="F460">
            <v>85.7</v>
          </cell>
          <cell r="G460">
            <v>513.69000000000005</v>
          </cell>
          <cell r="H460">
            <v>513.69000000000005</v>
          </cell>
        </row>
        <row r="461">
          <cell r="B461" t="str">
            <v>01-10-1120-000-100-70075</v>
          </cell>
          <cell r="C461" t="str">
            <v>Staff Dev - Bus Ops</v>
          </cell>
          <cell r="D461">
            <v>0</v>
          </cell>
          <cell r="E461">
            <v>4702.95</v>
          </cell>
          <cell r="F461">
            <v>0</v>
          </cell>
          <cell r="G461">
            <v>4702.95</v>
          </cell>
          <cell r="H461">
            <v>4702.95</v>
          </cell>
        </row>
        <row r="462">
          <cell r="B462" t="str">
            <v>01-10-1120-000-100-70090</v>
          </cell>
          <cell r="C462" t="str">
            <v>Travel - Bus Ops</v>
          </cell>
          <cell r="D462">
            <v>0</v>
          </cell>
          <cell r="E462">
            <v>3515.75</v>
          </cell>
          <cell r="F462">
            <v>367.8</v>
          </cell>
          <cell r="G462">
            <v>3147.95</v>
          </cell>
          <cell r="H462">
            <v>3147.95</v>
          </cell>
        </row>
        <row r="463">
          <cell r="B463" t="str">
            <v>01-10-1120-000-100-70100</v>
          </cell>
          <cell r="C463" t="str">
            <v>Office Supplies - Bus Ops</v>
          </cell>
          <cell r="D463">
            <v>0</v>
          </cell>
          <cell r="E463">
            <v>1832.62</v>
          </cell>
          <cell r="F463">
            <v>140.04</v>
          </cell>
          <cell r="G463">
            <v>1692.58</v>
          </cell>
          <cell r="H463">
            <v>1692.58</v>
          </cell>
        </row>
        <row r="464">
          <cell r="B464" t="str">
            <v>01-10-1120-000-100-70410</v>
          </cell>
          <cell r="C464" t="str">
            <v>Computer  Costs - Bus Ops</v>
          </cell>
          <cell r="D464">
            <v>0</v>
          </cell>
          <cell r="E464">
            <v>138.28</v>
          </cell>
          <cell r="F464">
            <v>0</v>
          </cell>
          <cell r="G464">
            <v>138.28</v>
          </cell>
          <cell r="H464">
            <v>138.28</v>
          </cell>
        </row>
        <row r="465">
          <cell r="B465" t="str">
            <v>01-10-1120-000-100-70420</v>
          </cell>
          <cell r="C465" t="str">
            <v>Software Subscript &amp; Mntnce - Bus Ops</v>
          </cell>
          <cell r="D465">
            <v>0</v>
          </cell>
          <cell r="E465">
            <v>25</v>
          </cell>
          <cell r="F465">
            <v>36.29</v>
          </cell>
          <cell r="G465">
            <v>-11.29</v>
          </cell>
          <cell r="H465">
            <v>-11.29</v>
          </cell>
        </row>
        <row r="466">
          <cell r="B466" t="str">
            <v>01-10-1120-000-100-70550</v>
          </cell>
          <cell r="C466" t="str">
            <v>Furn Fix &amp; Remodel - Bus Ops</v>
          </cell>
          <cell r="D466">
            <v>0</v>
          </cell>
          <cell r="E466">
            <v>1687.9</v>
          </cell>
          <cell r="F466">
            <v>464.23</v>
          </cell>
          <cell r="G466">
            <v>1223.67</v>
          </cell>
          <cell r="H466">
            <v>1223.67</v>
          </cell>
        </row>
        <row r="467">
          <cell r="B467" t="str">
            <v>01-10-1120-000-100-71020</v>
          </cell>
          <cell r="C467" t="str">
            <v>Storage - Bus Ops</v>
          </cell>
          <cell r="D467">
            <v>0</v>
          </cell>
          <cell r="E467">
            <v>1295.99</v>
          </cell>
          <cell r="F467">
            <v>463.85</v>
          </cell>
          <cell r="G467">
            <v>832.14</v>
          </cell>
          <cell r="H467">
            <v>832.14</v>
          </cell>
        </row>
        <row r="468">
          <cell r="B468" t="str">
            <v>01-10-1120-000-100-72030</v>
          </cell>
          <cell r="C468" t="str">
            <v>Recycling - Bus Ops</v>
          </cell>
          <cell r="D468">
            <v>0</v>
          </cell>
          <cell r="E468">
            <v>281.5</v>
          </cell>
          <cell r="F468">
            <v>0</v>
          </cell>
          <cell r="G468">
            <v>281.5</v>
          </cell>
          <cell r="H468">
            <v>281.5</v>
          </cell>
        </row>
        <row r="469">
          <cell r="B469" t="str">
            <v>01-10-1120-000-100-72035</v>
          </cell>
          <cell r="C469" t="str">
            <v>Phone - Bus Ops</v>
          </cell>
          <cell r="D469">
            <v>0</v>
          </cell>
          <cell r="E469">
            <v>1867.4</v>
          </cell>
          <cell r="F469">
            <v>0</v>
          </cell>
          <cell r="G469">
            <v>1867.4</v>
          </cell>
          <cell r="H469">
            <v>1867.4</v>
          </cell>
        </row>
        <row r="470">
          <cell r="B470" t="str">
            <v>01-10-1120-000-100-72040</v>
          </cell>
          <cell r="C470" t="str">
            <v>Water - Business Ops</v>
          </cell>
          <cell r="D470">
            <v>0</v>
          </cell>
          <cell r="E470">
            <v>113.49</v>
          </cell>
          <cell r="F470">
            <v>0</v>
          </cell>
          <cell r="G470">
            <v>113.49</v>
          </cell>
          <cell r="H470">
            <v>113.49</v>
          </cell>
        </row>
        <row r="471">
          <cell r="B471" t="str">
            <v>01-10-1120-000-100-98006</v>
          </cell>
          <cell r="C471" t="str">
            <v>FTEs-Dir/Mgr-UNM-Bus Ops</v>
          </cell>
          <cell r="D471">
            <v>0</v>
          </cell>
          <cell r="E471">
            <v>14</v>
          </cell>
          <cell r="F471">
            <v>14</v>
          </cell>
          <cell r="G471">
            <v>0</v>
          </cell>
          <cell r="H471">
            <v>0</v>
          </cell>
        </row>
        <row r="472">
          <cell r="B472" t="str">
            <v>01-10-1120-000-100-98014</v>
          </cell>
          <cell r="C472" t="str">
            <v>FTEs-Prof-UNM-Bus Ops</v>
          </cell>
          <cell r="D472">
            <v>0</v>
          </cell>
          <cell r="E472">
            <v>14</v>
          </cell>
          <cell r="F472">
            <v>14</v>
          </cell>
          <cell r="G472">
            <v>0</v>
          </cell>
          <cell r="H472">
            <v>0</v>
          </cell>
        </row>
        <row r="473">
          <cell r="B473" t="str">
            <v>01-10-1120-000-100-98016</v>
          </cell>
          <cell r="C473" t="str">
            <v>FTEs-Technical-UNM-BusOps</v>
          </cell>
          <cell r="D473">
            <v>0</v>
          </cell>
          <cell r="E473">
            <v>23</v>
          </cell>
          <cell r="F473">
            <v>23</v>
          </cell>
          <cell r="G473">
            <v>0</v>
          </cell>
          <cell r="H473">
            <v>0</v>
          </cell>
        </row>
        <row r="474">
          <cell r="B474" t="str">
            <v>01-10-1120-000-100-98018</v>
          </cell>
          <cell r="C474" t="str">
            <v>FTEs-Clerical-UNMMG-Bus Ops</v>
          </cell>
          <cell r="D474">
            <v>0</v>
          </cell>
          <cell r="E474">
            <v>2</v>
          </cell>
          <cell r="F474">
            <v>2</v>
          </cell>
          <cell r="G474">
            <v>0</v>
          </cell>
          <cell r="H474">
            <v>0</v>
          </cell>
        </row>
        <row r="475">
          <cell r="B475" t="str">
            <v>01-10-1125-000-000-35010</v>
          </cell>
          <cell r="C475" t="str">
            <v>Prior Yr Fund Balance-Acct Ops</v>
          </cell>
          <cell r="D475">
            <v>0</v>
          </cell>
          <cell r="E475">
            <v>2794160.29</v>
          </cell>
          <cell r="F475">
            <v>0</v>
          </cell>
          <cell r="G475">
            <v>2794160.29</v>
          </cell>
          <cell r="H475">
            <v>2794160.29</v>
          </cell>
        </row>
        <row r="476">
          <cell r="B476" t="str">
            <v>01-10-1125-000-100-60010</v>
          </cell>
          <cell r="C476" t="str">
            <v>Salaries-Supervisor - Acct Ops</v>
          </cell>
          <cell r="D476">
            <v>0</v>
          </cell>
          <cell r="E476">
            <v>153524.25</v>
          </cell>
          <cell r="F476">
            <v>801.86</v>
          </cell>
          <cell r="G476">
            <v>152722.39000000001</v>
          </cell>
          <cell r="H476">
            <v>152722.39000000001</v>
          </cell>
        </row>
        <row r="477">
          <cell r="B477" t="str">
            <v>01-10-1125-000-100-60013</v>
          </cell>
          <cell r="C477" t="str">
            <v>Salaries-Prof - Acct Ops</v>
          </cell>
          <cell r="D477">
            <v>0</v>
          </cell>
          <cell r="E477">
            <v>73397.05</v>
          </cell>
          <cell r="F477">
            <v>0</v>
          </cell>
          <cell r="G477">
            <v>73397.05</v>
          </cell>
          <cell r="H477">
            <v>73397.05</v>
          </cell>
        </row>
        <row r="478">
          <cell r="B478" t="str">
            <v>01-10-1125-000-100-60015</v>
          </cell>
          <cell r="C478" t="str">
            <v>Salaries-Technical - Acct Ops</v>
          </cell>
          <cell r="D478">
            <v>0</v>
          </cell>
          <cell r="E478">
            <v>349992.82</v>
          </cell>
          <cell r="F478">
            <v>345199.07</v>
          </cell>
          <cell r="G478">
            <v>4793.75</v>
          </cell>
          <cell r="H478">
            <v>4793.75</v>
          </cell>
        </row>
        <row r="479">
          <cell r="B479" t="str">
            <v>01-10-1125-000-100-60018</v>
          </cell>
          <cell r="C479" t="str">
            <v>Salaries-Clerical - Acct Ops</v>
          </cell>
          <cell r="D479">
            <v>0</v>
          </cell>
          <cell r="E479">
            <v>1506466.47</v>
          </cell>
          <cell r="F479">
            <v>487675.85</v>
          </cell>
          <cell r="G479">
            <v>1018790.62</v>
          </cell>
          <cell r="H479">
            <v>1018790.62</v>
          </cell>
        </row>
        <row r="480">
          <cell r="B480" t="str">
            <v>01-10-1125-000-100-63310</v>
          </cell>
          <cell r="C480" t="str">
            <v>Severence Expense - Acct Ops</v>
          </cell>
          <cell r="D480">
            <v>0</v>
          </cell>
          <cell r="E480">
            <v>3054.14</v>
          </cell>
          <cell r="F480">
            <v>0</v>
          </cell>
          <cell r="G480">
            <v>3054.14</v>
          </cell>
          <cell r="H480">
            <v>3054.14</v>
          </cell>
        </row>
        <row r="481">
          <cell r="B481" t="str">
            <v>01-10-1125-000-100-63500</v>
          </cell>
          <cell r="C481" t="str">
            <v>Overtime-UNMMG-Acct Ops</v>
          </cell>
          <cell r="D481">
            <v>0</v>
          </cell>
          <cell r="E481">
            <v>580.11</v>
          </cell>
          <cell r="F481">
            <v>4.99</v>
          </cell>
          <cell r="G481">
            <v>575.12</v>
          </cell>
          <cell r="H481">
            <v>575.12</v>
          </cell>
        </row>
        <row r="482">
          <cell r="B482" t="str">
            <v>01-10-1125-000-100-63505</v>
          </cell>
          <cell r="C482" t="str">
            <v>Overtime-UNM-Acct Ops</v>
          </cell>
          <cell r="D482">
            <v>0</v>
          </cell>
          <cell r="E482">
            <v>1490.37</v>
          </cell>
          <cell r="F482">
            <v>0</v>
          </cell>
          <cell r="G482">
            <v>1490.37</v>
          </cell>
          <cell r="H482">
            <v>1490.37</v>
          </cell>
        </row>
        <row r="483">
          <cell r="B483" t="str">
            <v>01-10-1125-000-100-64002</v>
          </cell>
          <cell r="C483" t="str">
            <v>Billed from UH - Salaries - Acct Ops</v>
          </cell>
          <cell r="D483">
            <v>0</v>
          </cell>
          <cell r="E483">
            <v>270346.78000000003</v>
          </cell>
          <cell r="F483">
            <v>8973.98</v>
          </cell>
          <cell r="G483">
            <v>261372.79999999999</v>
          </cell>
          <cell r="H483">
            <v>261372.79999999999</v>
          </cell>
        </row>
        <row r="484">
          <cell r="B484" t="str">
            <v>01-10-1125-000-100-64050</v>
          </cell>
          <cell r="C484" t="str">
            <v>Emp Benefits-UNM - Acct Ops</v>
          </cell>
          <cell r="D484">
            <v>0</v>
          </cell>
          <cell r="E484">
            <v>505098.38</v>
          </cell>
          <cell r="F484">
            <v>189847.06</v>
          </cell>
          <cell r="G484">
            <v>315251.32</v>
          </cell>
          <cell r="H484">
            <v>315251.32</v>
          </cell>
        </row>
        <row r="485">
          <cell r="B485" t="str">
            <v>01-10-1125-000-100-64055</v>
          </cell>
          <cell r="C485" t="str">
            <v>Employee Benefits UNMMG - Acct Ops</v>
          </cell>
          <cell r="D485">
            <v>0</v>
          </cell>
          <cell r="E485">
            <v>145524.70000000001</v>
          </cell>
          <cell r="F485">
            <v>149048.82</v>
          </cell>
          <cell r="G485">
            <v>-3524.12</v>
          </cell>
          <cell r="H485">
            <v>-3524.12</v>
          </cell>
        </row>
        <row r="486">
          <cell r="B486" t="str">
            <v>01-10-1125-000-100-65005</v>
          </cell>
          <cell r="C486" t="str">
            <v>Emp Benefits-STD - Acct Ops</v>
          </cell>
          <cell r="D486">
            <v>0</v>
          </cell>
          <cell r="E486">
            <v>1870.94</v>
          </cell>
          <cell r="F486">
            <v>0</v>
          </cell>
          <cell r="G486">
            <v>1870.94</v>
          </cell>
          <cell r="H486">
            <v>1870.94</v>
          </cell>
        </row>
        <row r="487">
          <cell r="B487" t="str">
            <v>01-10-1125-000-100-65008</v>
          </cell>
          <cell r="C487" t="str">
            <v>Emp Benefits-Tuition - Acct Ops</v>
          </cell>
          <cell r="D487">
            <v>0</v>
          </cell>
          <cell r="E487">
            <v>5798</v>
          </cell>
          <cell r="F487">
            <v>0</v>
          </cell>
          <cell r="G487">
            <v>5798</v>
          </cell>
          <cell r="H487">
            <v>5798</v>
          </cell>
        </row>
        <row r="488">
          <cell r="B488" t="str">
            <v>01-10-1125-000-100-67025</v>
          </cell>
          <cell r="C488" t="str">
            <v>ER 403(b) - Acct Ops</v>
          </cell>
          <cell r="D488">
            <v>0</v>
          </cell>
          <cell r="E488">
            <v>28110.21</v>
          </cell>
          <cell r="F488">
            <v>0</v>
          </cell>
          <cell r="G488">
            <v>28110.21</v>
          </cell>
          <cell r="H488">
            <v>28110.21</v>
          </cell>
        </row>
        <row r="489">
          <cell r="B489" t="str">
            <v>01-10-1125-000-100-67030</v>
          </cell>
          <cell r="C489" t="str">
            <v>ER Hlth Dental &amp; Vision - Acct Ops</v>
          </cell>
          <cell r="D489">
            <v>0</v>
          </cell>
          <cell r="E489">
            <v>52269.25</v>
          </cell>
          <cell r="F489">
            <v>0</v>
          </cell>
          <cell r="G489">
            <v>52269.25</v>
          </cell>
          <cell r="H489">
            <v>52269.25</v>
          </cell>
        </row>
        <row r="490">
          <cell r="B490" t="str">
            <v>01-10-1125-000-100-67050</v>
          </cell>
          <cell r="C490" t="str">
            <v>ER Life Ins - Acct Ops</v>
          </cell>
          <cell r="D490">
            <v>0</v>
          </cell>
          <cell r="E490">
            <v>864.72</v>
          </cell>
          <cell r="F490">
            <v>0</v>
          </cell>
          <cell r="G490">
            <v>864.72</v>
          </cell>
          <cell r="H490">
            <v>864.72</v>
          </cell>
        </row>
        <row r="491">
          <cell r="B491" t="str">
            <v>01-10-1125-000-100-67100</v>
          </cell>
          <cell r="C491" t="str">
            <v>ER Fica_Mcare - Acct Ops</v>
          </cell>
          <cell r="D491">
            <v>0</v>
          </cell>
          <cell r="E491">
            <v>32926.74</v>
          </cell>
          <cell r="F491">
            <v>0</v>
          </cell>
          <cell r="G491">
            <v>32926.74</v>
          </cell>
          <cell r="H491">
            <v>32926.74</v>
          </cell>
        </row>
        <row r="492">
          <cell r="B492" t="str">
            <v>01-10-1125-000-100-67105</v>
          </cell>
          <cell r="C492" t="str">
            <v>ER FUI - Acct Ops</v>
          </cell>
          <cell r="D492">
            <v>0</v>
          </cell>
          <cell r="E492">
            <v>775.84</v>
          </cell>
          <cell r="F492">
            <v>0</v>
          </cell>
          <cell r="G492">
            <v>775.84</v>
          </cell>
          <cell r="H492">
            <v>775.84</v>
          </cell>
        </row>
        <row r="493">
          <cell r="B493" t="str">
            <v>01-10-1125-000-100-67110</v>
          </cell>
          <cell r="C493" t="str">
            <v>ER SUI - Acct Ops</v>
          </cell>
          <cell r="D493">
            <v>0</v>
          </cell>
          <cell r="E493">
            <v>5476.67</v>
          </cell>
          <cell r="F493">
            <v>0</v>
          </cell>
          <cell r="G493">
            <v>5476.67</v>
          </cell>
          <cell r="H493">
            <v>5476.67</v>
          </cell>
        </row>
        <row r="494">
          <cell r="B494" t="str">
            <v>01-10-1125-000-100-67120</v>
          </cell>
          <cell r="C494" t="str">
            <v>Worker's Comp Fee - Acct Ops</v>
          </cell>
          <cell r="D494">
            <v>0</v>
          </cell>
          <cell r="E494">
            <v>130.76</v>
          </cell>
          <cell r="F494">
            <v>0</v>
          </cell>
          <cell r="G494">
            <v>130.76</v>
          </cell>
          <cell r="H494">
            <v>130.76</v>
          </cell>
        </row>
        <row r="495">
          <cell r="B495" t="str">
            <v>01-10-1125-000-100-70028</v>
          </cell>
          <cell r="C495" t="str">
            <v>Copier - Acct Ops</v>
          </cell>
          <cell r="D495">
            <v>0</v>
          </cell>
          <cell r="E495">
            <v>32285.55</v>
          </cell>
          <cell r="F495">
            <v>1222.22</v>
          </cell>
          <cell r="G495">
            <v>31063.33</v>
          </cell>
          <cell r="H495">
            <v>31063.33</v>
          </cell>
        </row>
        <row r="496">
          <cell r="B496" t="str">
            <v>01-10-1125-000-100-70030</v>
          </cell>
          <cell r="C496" t="str">
            <v>Dues &amp; Memberships - Acct Ops</v>
          </cell>
          <cell r="D496">
            <v>0</v>
          </cell>
          <cell r="E496">
            <v>759</v>
          </cell>
          <cell r="F496">
            <v>0</v>
          </cell>
          <cell r="G496">
            <v>759</v>
          </cell>
          <cell r="H496">
            <v>759</v>
          </cell>
        </row>
        <row r="497">
          <cell r="B497" t="str">
            <v>01-10-1125-000-100-70045</v>
          </cell>
          <cell r="C497" t="str">
            <v>Meetings &amp; Conferences - Acct Ops</v>
          </cell>
          <cell r="D497">
            <v>0</v>
          </cell>
          <cell r="E497">
            <v>411.33</v>
          </cell>
          <cell r="F497">
            <v>0</v>
          </cell>
          <cell r="G497">
            <v>411.33</v>
          </cell>
          <cell r="H497">
            <v>411.33</v>
          </cell>
        </row>
        <row r="498">
          <cell r="B498" t="str">
            <v>01-10-1125-000-100-70055</v>
          </cell>
          <cell r="C498" t="str">
            <v>Postage &amp; Shipping - Acct Ops</v>
          </cell>
          <cell r="D498">
            <v>0</v>
          </cell>
          <cell r="E498">
            <v>100048.44</v>
          </cell>
          <cell r="F498">
            <v>35988.959999999999</v>
          </cell>
          <cell r="G498">
            <v>64059.48</v>
          </cell>
          <cell r="H498">
            <v>64059.48</v>
          </cell>
        </row>
        <row r="499">
          <cell r="B499" t="str">
            <v>01-10-1125-000-100-70070</v>
          </cell>
          <cell r="C499" t="str">
            <v>Recruitment - Acct Ops</v>
          </cell>
          <cell r="D499">
            <v>0</v>
          </cell>
          <cell r="E499">
            <v>73.94</v>
          </cell>
          <cell r="F499">
            <v>73.94</v>
          </cell>
          <cell r="G499">
            <v>0</v>
          </cell>
          <cell r="H499">
            <v>0</v>
          </cell>
        </row>
        <row r="500">
          <cell r="B500" t="str">
            <v>01-10-1125-000-100-70075</v>
          </cell>
          <cell r="C500" t="str">
            <v>Staff Dev - Acct Ops</v>
          </cell>
          <cell r="D500">
            <v>0</v>
          </cell>
          <cell r="E500">
            <v>600</v>
          </cell>
          <cell r="F500">
            <v>600</v>
          </cell>
          <cell r="G500">
            <v>0</v>
          </cell>
          <cell r="H500">
            <v>0</v>
          </cell>
        </row>
        <row r="501">
          <cell r="B501" t="str">
            <v>01-10-1125-000-100-70090</v>
          </cell>
          <cell r="C501" t="str">
            <v>Travel - Acct Ops</v>
          </cell>
          <cell r="D501">
            <v>0</v>
          </cell>
          <cell r="E501">
            <v>562.29</v>
          </cell>
          <cell r="F501">
            <v>0</v>
          </cell>
          <cell r="G501">
            <v>562.29</v>
          </cell>
          <cell r="H501">
            <v>562.29</v>
          </cell>
        </row>
        <row r="502">
          <cell r="B502" t="str">
            <v>01-10-1125-000-100-70100</v>
          </cell>
          <cell r="C502" t="str">
            <v>Office Supplies - Acct Ops</v>
          </cell>
          <cell r="D502">
            <v>0</v>
          </cell>
          <cell r="E502">
            <v>11129.34</v>
          </cell>
          <cell r="F502">
            <v>981.96</v>
          </cell>
          <cell r="G502">
            <v>10147.379999999999</v>
          </cell>
          <cell r="H502">
            <v>10147.379999999999</v>
          </cell>
        </row>
        <row r="503">
          <cell r="B503" t="str">
            <v>01-10-1125-000-100-70300</v>
          </cell>
          <cell r="C503" t="str">
            <v>Claims Support - Acct Ops</v>
          </cell>
          <cell r="D503">
            <v>0</v>
          </cell>
          <cell r="E503">
            <v>417014.83</v>
          </cell>
          <cell r="F503">
            <v>177881.44</v>
          </cell>
          <cell r="G503">
            <v>239133.39</v>
          </cell>
          <cell r="H503">
            <v>239133.39</v>
          </cell>
        </row>
        <row r="504">
          <cell r="B504" t="str">
            <v>01-10-1125-000-100-70310</v>
          </cell>
          <cell r="C504" t="str">
            <v>Demo Graphic UH Charges - Acct Ops</v>
          </cell>
          <cell r="D504">
            <v>0</v>
          </cell>
          <cell r="E504">
            <v>78768</v>
          </cell>
          <cell r="F504">
            <v>0</v>
          </cell>
          <cell r="G504">
            <v>78768</v>
          </cell>
          <cell r="H504">
            <v>78768</v>
          </cell>
        </row>
        <row r="505">
          <cell r="B505" t="str">
            <v>01-10-1125-000-100-70320</v>
          </cell>
          <cell r="C505" t="str">
            <v>Collect  Agency Commission - Acct Ops</v>
          </cell>
          <cell r="D505">
            <v>0</v>
          </cell>
          <cell r="E505">
            <v>831935.15</v>
          </cell>
          <cell r="F505">
            <v>360302</v>
          </cell>
          <cell r="G505">
            <v>471633.15</v>
          </cell>
          <cell r="H505">
            <v>471633.15</v>
          </cell>
        </row>
        <row r="506">
          <cell r="B506" t="str">
            <v>01-10-1125-000-100-70510</v>
          </cell>
          <cell r="C506" t="str">
            <v>Other Contract Svcs - Acct Ops</v>
          </cell>
          <cell r="D506">
            <v>0</v>
          </cell>
          <cell r="E506">
            <v>45</v>
          </cell>
          <cell r="F506">
            <v>0</v>
          </cell>
          <cell r="G506">
            <v>45</v>
          </cell>
          <cell r="H506">
            <v>45</v>
          </cell>
        </row>
        <row r="507">
          <cell r="B507" t="str">
            <v>01-10-1125-000-100-70550</v>
          </cell>
          <cell r="C507" t="str">
            <v>Furn Fix &amp; Remodel - Acct Ops</v>
          </cell>
          <cell r="D507">
            <v>0</v>
          </cell>
          <cell r="E507">
            <v>1850.51</v>
          </cell>
          <cell r="F507">
            <v>0</v>
          </cell>
          <cell r="G507">
            <v>1850.51</v>
          </cell>
          <cell r="H507">
            <v>1850.51</v>
          </cell>
        </row>
        <row r="508">
          <cell r="B508" t="str">
            <v>01-10-1125-000-100-71020</v>
          </cell>
          <cell r="C508" t="str">
            <v>Storage - Acct Ops</v>
          </cell>
          <cell r="D508">
            <v>0</v>
          </cell>
          <cell r="E508">
            <v>1508.5</v>
          </cell>
          <cell r="F508">
            <v>618.38</v>
          </cell>
          <cell r="G508">
            <v>890.12</v>
          </cell>
          <cell r="H508">
            <v>890.12</v>
          </cell>
        </row>
        <row r="509">
          <cell r="B509" t="str">
            <v>01-10-1125-000-100-72030</v>
          </cell>
          <cell r="C509" t="str">
            <v>Recycling - Acct Ops</v>
          </cell>
          <cell r="D509">
            <v>0</v>
          </cell>
          <cell r="E509">
            <v>2434.71</v>
          </cell>
          <cell r="F509">
            <v>0</v>
          </cell>
          <cell r="G509">
            <v>2434.71</v>
          </cell>
          <cell r="H509">
            <v>2434.71</v>
          </cell>
        </row>
        <row r="510">
          <cell r="B510" t="str">
            <v>01-10-1125-000-100-72035</v>
          </cell>
          <cell r="C510" t="str">
            <v>Phone - Acct Ops</v>
          </cell>
          <cell r="D510">
            <v>0</v>
          </cell>
          <cell r="E510">
            <v>5210.32</v>
          </cell>
          <cell r="F510">
            <v>0</v>
          </cell>
          <cell r="G510">
            <v>5210.32</v>
          </cell>
          <cell r="H510">
            <v>5210.32</v>
          </cell>
        </row>
        <row r="511">
          <cell r="B511" t="str">
            <v>01-10-1125-000-100-72040</v>
          </cell>
          <cell r="C511" t="str">
            <v>Water - Acct Ops</v>
          </cell>
          <cell r="D511">
            <v>0</v>
          </cell>
          <cell r="E511">
            <v>979.91</v>
          </cell>
          <cell r="F511">
            <v>0</v>
          </cell>
          <cell r="G511">
            <v>979.91</v>
          </cell>
          <cell r="H511">
            <v>979.91</v>
          </cell>
        </row>
        <row r="512">
          <cell r="B512" t="str">
            <v>01-10-1125-000-100-98006</v>
          </cell>
          <cell r="C512" t="str">
            <v>FTEs-Dir/Mgr-UNM-Acct Ops</v>
          </cell>
          <cell r="D512">
            <v>0</v>
          </cell>
          <cell r="E512">
            <v>14</v>
          </cell>
          <cell r="F512">
            <v>14</v>
          </cell>
          <cell r="G512">
            <v>0</v>
          </cell>
          <cell r="H512">
            <v>0</v>
          </cell>
        </row>
        <row r="513">
          <cell r="B513" t="str">
            <v>01-10-1125-000-100-98010</v>
          </cell>
          <cell r="C513" t="str">
            <v>FTEs-Supervisor-UNMMG-Acct Ops</v>
          </cell>
          <cell r="D513">
            <v>0</v>
          </cell>
          <cell r="E513">
            <v>44</v>
          </cell>
          <cell r="F513">
            <v>44</v>
          </cell>
          <cell r="G513">
            <v>0</v>
          </cell>
          <cell r="H513">
            <v>0</v>
          </cell>
        </row>
        <row r="514">
          <cell r="B514" t="str">
            <v>01-10-1125-000-100-98016</v>
          </cell>
          <cell r="C514" t="str">
            <v>FTEs-Technical-UNM-AcctOps</v>
          </cell>
          <cell r="D514">
            <v>0</v>
          </cell>
          <cell r="E514">
            <v>5</v>
          </cell>
          <cell r="F514">
            <v>5</v>
          </cell>
          <cell r="G514">
            <v>0</v>
          </cell>
          <cell r="H514">
            <v>0</v>
          </cell>
        </row>
        <row r="515">
          <cell r="B515" t="str">
            <v>01-10-1125-000-100-98018</v>
          </cell>
          <cell r="C515" t="str">
            <v>FTEs-Clerical-UNMMG-Acct Ops</v>
          </cell>
          <cell r="D515">
            <v>0</v>
          </cell>
          <cell r="E515">
            <v>120</v>
          </cell>
          <cell r="F515">
            <v>120</v>
          </cell>
          <cell r="G515">
            <v>0</v>
          </cell>
          <cell r="H515">
            <v>0</v>
          </cell>
        </row>
        <row r="516">
          <cell r="B516" t="str">
            <v>01-10-1125-000-100-98019</v>
          </cell>
          <cell r="C516" t="str">
            <v>FTEs-Clerical-UNM-Acct Ops</v>
          </cell>
          <cell r="D516">
            <v>0</v>
          </cell>
          <cell r="E516">
            <v>322</v>
          </cell>
          <cell r="F516">
            <v>322</v>
          </cell>
          <cell r="G516">
            <v>0</v>
          </cell>
          <cell r="H516">
            <v>0</v>
          </cell>
        </row>
        <row r="517">
          <cell r="B517" t="str">
            <v>01-10-1130-000-000-20114</v>
          </cell>
          <cell r="C517" t="str">
            <v>Parking-Coding</v>
          </cell>
          <cell r="D517">
            <v>0</v>
          </cell>
          <cell r="E517">
            <v>1456</v>
          </cell>
          <cell r="F517">
            <v>1456</v>
          </cell>
          <cell r="G517">
            <v>0</v>
          </cell>
          <cell r="H517">
            <v>0</v>
          </cell>
        </row>
        <row r="518">
          <cell r="B518" t="str">
            <v>01-10-1130-000-000-35010</v>
          </cell>
          <cell r="C518" t="str">
            <v>Prior Yr Fund Balance-Acct-Coding</v>
          </cell>
          <cell r="D518">
            <v>0</v>
          </cell>
          <cell r="E518">
            <v>2753435.72</v>
          </cell>
          <cell r="F518">
            <v>0</v>
          </cell>
          <cell r="G518">
            <v>2753435.72</v>
          </cell>
          <cell r="H518">
            <v>2753435.72</v>
          </cell>
        </row>
        <row r="519">
          <cell r="B519" t="str">
            <v>01-10-1130-000-100-60005</v>
          </cell>
          <cell r="C519" t="str">
            <v>Salaries-Dir Mgr - Coding</v>
          </cell>
          <cell r="D519">
            <v>0</v>
          </cell>
          <cell r="E519">
            <v>176061.56</v>
          </cell>
          <cell r="F519">
            <v>0</v>
          </cell>
          <cell r="G519">
            <v>176061.56</v>
          </cell>
          <cell r="H519">
            <v>176061.56</v>
          </cell>
        </row>
        <row r="520">
          <cell r="B520" t="str">
            <v>01-10-1130-000-100-60010</v>
          </cell>
          <cell r="C520" t="str">
            <v>Salaries-Supervisor - Coding</v>
          </cell>
          <cell r="D520">
            <v>0</v>
          </cell>
          <cell r="E520">
            <v>156152.64000000001</v>
          </cell>
          <cell r="F520">
            <v>1550</v>
          </cell>
          <cell r="G520">
            <v>154602.64000000001</v>
          </cell>
          <cell r="H520">
            <v>154602.64000000001</v>
          </cell>
        </row>
        <row r="521">
          <cell r="B521" t="str">
            <v>01-10-1130-000-100-60013</v>
          </cell>
          <cell r="C521" t="str">
            <v>Salaries-Prof - Coding</v>
          </cell>
          <cell r="D521">
            <v>0</v>
          </cell>
          <cell r="E521">
            <v>159671.35</v>
          </cell>
          <cell r="F521">
            <v>4760.6400000000003</v>
          </cell>
          <cell r="G521">
            <v>154910.71</v>
          </cell>
          <cell r="H521">
            <v>154910.71</v>
          </cell>
        </row>
        <row r="522">
          <cell r="B522" t="str">
            <v>01-10-1130-000-100-60015</v>
          </cell>
          <cell r="C522" t="str">
            <v>Salaries-Technical - Coding</v>
          </cell>
          <cell r="D522">
            <v>0</v>
          </cell>
          <cell r="E522">
            <v>1763345.14</v>
          </cell>
          <cell r="F522">
            <v>705939.73</v>
          </cell>
          <cell r="G522">
            <v>1057405.4099999999</v>
          </cell>
          <cell r="H522">
            <v>1057405.4099999999</v>
          </cell>
        </row>
        <row r="523">
          <cell r="B523" t="str">
            <v>01-10-1130-000-100-60018</v>
          </cell>
          <cell r="C523" t="str">
            <v>Salaries-Clerical - Coding</v>
          </cell>
          <cell r="D523">
            <v>0</v>
          </cell>
          <cell r="E523">
            <v>94176.15</v>
          </cell>
          <cell r="F523">
            <v>60280.04</v>
          </cell>
          <cell r="G523">
            <v>33896.11</v>
          </cell>
          <cell r="H523">
            <v>33896.11</v>
          </cell>
        </row>
        <row r="524">
          <cell r="B524" t="str">
            <v>01-10-1130-000-100-60050</v>
          </cell>
          <cell r="C524" t="str">
            <v>Salaries-Student - Coding</v>
          </cell>
          <cell r="D524">
            <v>0</v>
          </cell>
          <cell r="E524">
            <v>5936.36</v>
          </cell>
          <cell r="F524">
            <v>1047.93</v>
          </cell>
          <cell r="G524">
            <v>4888.43</v>
          </cell>
          <cell r="H524">
            <v>4888.43</v>
          </cell>
        </row>
        <row r="525">
          <cell r="B525" t="str">
            <v>01-10-1130-000-100-63300</v>
          </cell>
          <cell r="C525" t="str">
            <v>Bonus Expense - Coding</v>
          </cell>
          <cell r="D525">
            <v>0</v>
          </cell>
          <cell r="E525">
            <v>10642.86</v>
          </cell>
          <cell r="F525">
            <v>6142.86</v>
          </cell>
          <cell r="G525">
            <v>4500</v>
          </cell>
          <cell r="H525">
            <v>4500</v>
          </cell>
        </row>
        <row r="526">
          <cell r="B526" t="str">
            <v>01-10-1130-000-100-63310</v>
          </cell>
          <cell r="C526" t="str">
            <v>Severence Expense - Coding</v>
          </cell>
          <cell r="D526">
            <v>0</v>
          </cell>
          <cell r="E526">
            <v>6421.18</v>
          </cell>
          <cell r="F526">
            <v>3061.18</v>
          </cell>
          <cell r="G526">
            <v>3360</v>
          </cell>
          <cell r="H526">
            <v>3360</v>
          </cell>
        </row>
        <row r="527">
          <cell r="B527" t="str">
            <v>01-10-1130-000-100-63500</v>
          </cell>
          <cell r="C527" t="str">
            <v>Overtime-UNMMG-Coding</v>
          </cell>
          <cell r="D527">
            <v>0</v>
          </cell>
          <cell r="E527">
            <v>21665.99</v>
          </cell>
          <cell r="F527">
            <v>563.91999999999996</v>
          </cell>
          <cell r="G527">
            <v>21102.07</v>
          </cell>
          <cell r="H527">
            <v>21102.07</v>
          </cell>
        </row>
        <row r="528">
          <cell r="B528" t="str">
            <v>01-10-1130-000-100-63505</v>
          </cell>
          <cell r="C528" t="str">
            <v>Overtime-UNM-Coding</v>
          </cell>
          <cell r="D528">
            <v>0</v>
          </cell>
          <cell r="E528">
            <v>29986.93</v>
          </cell>
          <cell r="F528">
            <v>0</v>
          </cell>
          <cell r="G528">
            <v>29986.93</v>
          </cell>
          <cell r="H528">
            <v>29986.93</v>
          </cell>
        </row>
        <row r="529">
          <cell r="B529" t="str">
            <v>01-10-1130-000-100-64000</v>
          </cell>
          <cell r="C529" t="str">
            <v>Bill UH-Salaries - Coding</v>
          </cell>
          <cell r="D529">
            <v>0</v>
          </cell>
          <cell r="E529">
            <v>591.63</v>
          </cell>
          <cell r="F529">
            <v>14463.22</v>
          </cell>
          <cell r="G529">
            <v>-13871.59</v>
          </cell>
          <cell r="H529">
            <v>-13871.59</v>
          </cell>
        </row>
        <row r="530">
          <cell r="B530" t="str">
            <v>01-10-1130-000-100-64002</v>
          </cell>
          <cell r="C530" t="str">
            <v>Billed From UH - Coding</v>
          </cell>
          <cell r="D530">
            <v>0</v>
          </cell>
          <cell r="E530">
            <v>177039.31</v>
          </cell>
          <cell r="F530">
            <v>19943.310000000001</v>
          </cell>
          <cell r="G530">
            <v>157096</v>
          </cell>
          <cell r="H530">
            <v>157096</v>
          </cell>
        </row>
        <row r="531">
          <cell r="B531" t="str">
            <v>01-10-1130-000-100-64050</v>
          </cell>
          <cell r="C531" t="str">
            <v>Emp Benefits-UNM - Coding</v>
          </cell>
          <cell r="D531">
            <v>0</v>
          </cell>
          <cell r="E531">
            <v>524612.29</v>
          </cell>
          <cell r="F531">
            <v>237431.34</v>
          </cell>
          <cell r="G531">
            <v>287180.95</v>
          </cell>
          <cell r="H531">
            <v>287180.95</v>
          </cell>
        </row>
        <row r="532">
          <cell r="B532" t="str">
            <v>01-10-1130-000-100-64055</v>
          </cell>
          <cell r="C532" t="str">
            <v>Employee Benefits UNMMG - Coding</v>
          </cell>
          <cell r="D532">
            <v>0</v>
          </cell>
          <cell r="E532">
            <v>182949.38</v>
          </cell>
          <cell r="F532">
            <v>179637.24</v>
          </cell>
          <cell r="G532">
            <v>3312.14</v>
          </cell>
          <cell r="H532">
            <v>3312.14</v>
          </cell>
        </row>
        <row r="533">
          <cell r="B533" t="str">
            <v>01-10-1130-000-100-65005</v>
          </cell>
          <cell r="C533" t="str">
            <v>Emp Benefits-STD - Coding</v>
          </cell>
          <cell r="D533">
            <v>0</v>
          </cell>
          <cell r="E533">
            <v>3188.98</v>
          </cell>
          <cell r="F533">
            <v>0</v>
          </cell>
          <cell r="G533">
            <v>3188.98</v>
          </cell>
          <cell r="H533">
            <v>3188.98</v>
          </cell>
        </row>
        <row r="534">
          <cell r="B534" t="str">
            <v>01-10-1130-000-100-67025</v>
          </cell>
          <cell r="C534" t="str">
            <v>ER 403(b) - Coding</v>
          </cell>
          <cell r="D534">
            <v>0</v>
          </cell>
          <cell r="E534">
            <v>48373.86</v>
          </cell>
          <cell r="F534">
            <v>0</v>
          </cell>
          <cell r="G534">
            <v>48373.86</v>
          </cell>
          <cell r="H534">
            <v>48373.86</v>
          </cell>
        </row>
        <row r="535">
          <cell r="B535" t="str">
            <v>01-10-1130-000-100-67030</v>
          </cell>
          <cell r="C535" t="str">
            <v>ER Hlth Dental &amp; Vision - Coding</v>
          </cell>
          <cell r="D535">
            <v>0</v>
          </cell>
          <cell r="E535">
            <v>58752.49</v>
          </cell>
          <cell r="F535">
            <v>0</v>
          </cell>
          <cell r="G535">
            <v>58752.49</v>
          </cell>
          <cell r="H535">
            <v>58752.49</v>
          </cell>
        </row>
        <row r="536">
          <cell r="B536" t="str">
            <v>01-10-1130-000-100-67050</v>
          </cell>
          <cell r="C536" t="str">
            <v>ER Life Ins - Coding</v>
          </cell>
          <cell r="D536">
            <v>0</v>
          </cell>
          <cell r="E536">
            <v>736.06</v>
          </cell>
          <cell r="F536">
            <v>0</v>
          </cell>
          <cell r="G536">
            <v>736.06</v>
          </cell>
          <cell r="H536">
            <v>736.06</v>
          </cell>
        </row>
        <row r="537">
          <cell r="B537" t="str">
            <v>01-10-1130-000-100-67100</v>
          </cell>
          <cell r="C537" t="str">
            <v>ER Fica_Mcare - Coding</v>
          </cell>
          <cell r="D537">
            <v>0</v>
          </cell>
          <cell r="E537">
            <v>58464.67</v>
          </cell>
          <cell r="F537">
            <v>0</v>
          </cell>
          <cell r="G537">
            <v>58464.67</v>
          </cell>
          <cell r="H537">
            <v>58464.67</v>
          </cell>
        </row>
        <row r="538">
          <cell r="B538" t="str">
            <v>01-10-1130-000-100-67105</v>
          </cell>
          <cell r="C538" t="str">
            <v>ER FUI - Coding</v>
          </cell>
          <cell r="D538">
            <v>0</v>
          </cell>
          <cell r="E538">
            <v>1039.03</v>
          </cell>
          <cell r="F538">
            <v>0</v>
          </cell>
          <cell r="G538">
            <v>1039.03</v>
          </cell>
          <cell r="H538">
            <v>1039.03</v>
          </cell>
        </row>
        <row r="539">
          <cell r="B539" t="str">
            <v>01-10-1130-000-100-67110</v>
          </cell>
          <cell r="C539" t="str">
            <v>ER SUI - Coding</v>
          </cell>
          <cell r="D539">
            <v>0</v>
          </cell>
          <cell r="E539">
            <v>8554.61</v>
          </cell>
          <cell r="F539">
            <v>0</v>
          </cell>
          <cell r="G539">
            <v>8554.61</v>
          </cell>
          <cell r="H539">
            <v>8554.61</v>
          </cell>
        </row>
        <row r="540">
          <cell r="B540" t="str">
            <v>01-10-1130-000-100-67120</v>
          </cell>
          <cell r="C540" t="str">
            <v>Worker's Comp Fee - Coding</v>
          </cell>
          <cell r="D540">
            <v>0</v>
          </cell>
          <cell r="E540">
            <v>140.1</v>
          </cell>
          <cell r="F540">
            <v>0</v>
          </cell>
          <cell r="G540">
            <v>140.1</v>
          </cell>
          <cell r="H540">
            <v>140.1</v>
          </cell>
        </row>
        <row r="541">
          <cell r="B541" t="str">
            <v>01-10-1130-000-100-70025</v>
          </cell>
          <cell r="C541" t="str">
            <v>Books &amp; Publications - Coding</v>
          </cell>
          <cell r="D541">
            <v>0</v>
          </cell>
          <cell r="E541">
            <v>32280.14</v>
          </cell>
          <cell r="F541">
            <v>3105.1</v>
          </cell>
          <cell r="G541">
            <v>29175.040000000001</v>
          </cell>
          <cell r="H541">
            <v>29175.040000000001</v>
          </cell>
        </row>
        <row r="542">
          <cell r="B542" t="str">
            <v>01-10-1130-000-100-70028</v>
          </cell>
          <cell r="C542" t="str">
            <v>Copier - Coding</v>
          </cell>
          <cell r="D542">
            <v>0</v>
          </cell>
          <cell r="E542">
            <v>31768.74</v>
          </cell>
          <cell r="F542">
            <v>1774.61</v>
          </cell>
          <cell r="G542">
            <v>29994.13</v>
          </cell>
          <cell r="H542">
            <v>29994.13</v>
          </cell>
        </row>
        <row r="543">
          <cell r="B543" t="str">
            <v>01-10-1130-000-100-70030</v>
          </cell>
          <cell r="C543" t="str">
            <v>Dues &amp; Memberships - Coding</v>
          </cell>
          <cell r="D543">
            <v>0</v>
          </cell>
          <cell r="E543">
            <v>9030.9500000000007</v>
          </cell>
          <cell r="F543">
            <v>240</v>
          </cell>
          <cell r="G543">
            <v>8790.9500000000007</v>
          </cell>
          <cell r="H543">
            <v>8790.9500000000007</v>
          </cell>
        </row>
        <row r="544">
          <cell r="B544" t="str">
            <v>01-10-1130-000-100-70040</v>
          </cell>
          <cell r="C544" t="str">
            <v>Materials &amp; Services - Coding</v>
          </cell>
          <cell r="D544">
            <v>0</v>
          </cell>
          <cell r="E544">
            <v>53678.49</v>
          </cell>
          <cell r="F544">
            <v>54012.49</v>
          </cell>
          <cell r="G544">
            <v>-334</v>
          </cell>
          <cell r="H544">
            <v>-334</v>
          </cell>
        </row>
        <row r="545">
          <cell r="B545" t="str">
            <v>01-10-1130-000-100-70045</v>
          </cell>
          <cell r="C545" t="str">
            <v>Meetings &amp; Conferences - Coding</v>
          </cell>
          <cell r="D545">
            <v>0</v>
          </cell>
          <cell r="E545">
            <v>149.94999999999999</v>
          </cell>
          <cell r="F545">
            <v>79</v>
          </cell>
          <cell r="G545">
            <v>70.95</v>
          </cell>
          <cell r="H545">
            <v>70.95</v>
          </cell>
        </row>
        <row r="546">
          <cell r="B546" t="str">
            <v>01-10-1130-000-100-70055</v>
          </cell>
          <cell r="C546" t="str">
            <v>Postage &amp; Shipping - Coding</v>
          </cell>
          <cell r="D546">
            <v>0</v>
          </cell>
          <cell r="E546">
            <v>4820.6899999999996</v>
          </cell>
          <cell r="F546">
            <v>719.88</v>
          </cell>
          <cell r="G546">
            <v>4100.8100000000004</v>
          </cell>
          <cell r="H546">
            <v>4100.8100000000004</v>
          </cell>
        </row>
        <row r="547">
          <cell r="B547" t="str">
            <v>01-10-1130-000-100-70060</v>
          </cell>
          <cell r="C547" t="str">
            <v>Printing - Coding</v>
          </cell>
          <cell r="D547">
            <v>0</v>
          </cell>
          <cell r="E547">
            <v>101592.84</v>
          </cell>
          <cell r="F547">
            <v>0</v>
          </cell>
          <cell r="G547">
            <v>101592.84</v>
          </cell>
          <cell r="H547">
            <v>101592.84</v>
          </cell>
        </row>
        <row r="548">
          <cell r="B548" t="str">
            <v>01-10-1130-000-100-70075</v>
          </cell>
          <cell r="C548" t="str">
            <v>Staff Dev - Coding</v>
          </cell>
          <cell r="D548">
            <v>0</v>
          </cell>
          <cell r="E548">
            <v>4302.09</v>
          </cell>
          <cell r="F548">
            <v>75</v>
          </cell>
          <cell r="G548">
            <v>4227.09</v>
          </cell>
          <cell r="H548">
            <v>4227.09</v>
          </cell>
        </row>
        <row r="549">
          <cell r="B549" t="str">
            <v>01-10-1130-000-100-70090</v>
          </cell>
          <cell r="C549" t="str">
            <v>Travel - Coding</v>
          </cell>
          <cell r="D549">
            <v>0</v>
          </cell>
          <cell r="E549">
            <v>6997.86</v>
          </cell>
          <cell r="F549">
            <v>0</v>
          </cell>
          <cell r="G549">
            <v>6997.86</v>
          </cell>
          <cell r="H549">
            <v>6997.86</v>
          </cell>
        </row>
        <row r="550">
          <cell r="B550" t="str">
            <v>01-10-1130-000-100-70095</v>
          </cell>
          <cell r="C550" t="str">
            <v>Mileage - Coding</v>
          </cell>
          <cell r="D550">
            <v>0</v>
          </cell>
          <cell r="E550">
            <v>356.8</v>
          </cell>
          <cell r="F550">
            <v>0</v>
          </cell>
          <cell r="G550">
            <v>356.8</v>
          </cell>
          <cell r="H550">
            <v>356.8</v>
          </cell>
        </row>
        <row r="551">
          <cell r="B551" t="str">
            <v>01-10-1130-000-100-70100</v>
          </cell>
          <cell r="C551" t="str">
            <v>Office Supplies - Coding</v>
          </cell>
          <cell r="D551">
            <v>0</v>
          </cell>
          <cell r="E551">
            <v>7190.54</v>
          </cell>
          <cell r="F551">
            <v>491.38</v>
          </cell>
          <cell r="G551">
            <v>6699.16</v>
          </cell>
          <cell r="H551">
            <v>6699.16</v>
          </cell>
        </row>
        <row r="552">
          <cell r="B552" t="str">
            <v>01-10-1130-000-100-70410</v>
          </cell>
          <cell r="C552" t="str">
            <v>Computer  Costs - Coding</v>
          </cell>
          <cell r="D552">
            <v>0</v>
          </cell>
          <cell r="E552">
            <v>4400.8599999999997</v>
          </cell>
          <cell r="F552">
            <v>1423.62</v>
          </cell>
          <cell r="G552">
            <v>2977.24</v>
          </cell>
          <cell r="H552">
            <v>2977.24</v>
          </cell>
        </row>
        <row r="553">
          <cell r="B553" t="str">
            <v>01-10-1130-000-100-70420</v>
          </cell>
          <cell r="C553" t="str">
            <v>Software Subscript &amp; Mntnce - Coding</v>
          </cell>
          <cell r="D553">
            <v>0</v>
          </cell>
          <cell r="E553">
            <v>21298.55</v>
          </cell>
          <cell r="F553">
            <v>1638.35</v>
          </cell>
          <cell r="G553">
            <v>19660.2</v>
          </cell>
          <cell r="H553">
            <v>19660.2</v>
          </cell>
        </row>
        <row r="554">
          <cell r="B554" t="str">
            <v>01-10-1130-000-100-70510</v>
          </cell>
          <cell r="C554" t="str">
            <v>Other Contract Svcs - Coding</v>
          </cell>
          <cell r="D554">
            <v>0</v>
          </cell>
          <cell r="E554">
            <v>19063.189999999999</v>
          </cell>
          <cell r="F554">
            <v>0</v>
          </cell>
          <cell r="G554">
            <v>19063.189999999999</v>
          </cell>
          <cell r="H554">
            <v>19063.189999999999</v>
          </cell>
        </row>
        <row r="555">
          <cell r="B555" t="str">
            <v>01-10-1130-000-100-70550</v>
          </cell>
          <cell r="C555" t="str">
            <v>Furn Fix &amp; Remodel - Coding</v>
          </cell>
          <cell r="D555">
            <v>0</v>
          </cell>
          <cell r="E555">
            <v>702.52</v>
          </cell>
          <cell r="F555">
            <v>0</v>
          </cell>
          <cell r="G555">
            <v>702.52</v>
          </cell>
          <cell r="H555">
            <v>702.52</v>
          </cell>
        </row>
        <row r="556">
          <cell r="B556" t="str">
            <v>01-10-1130-000-100-71020</v>
          </cell>
          <cell r="C556" t="str">
            <v>Storage - Coding</v>
          </cell>
          <cell r="D556">
            <v>0</v>
          </cell>
          <cell r="E556">
            <v>2219.7600000000002</v>
          </cell>
          <cell r="F556">
            <v>584.96</v>
          </cell>
          <cell r="G556">
            <v>1634.8</v>
          </cell>
          <cell r="H556">
            <v>1634.8</v>
          </cell>
        </row>
        <row r="557">
          <cell r="B557" t="str">
            <v>01-10-1130-000-100-72030</v>
          </cell>
          <cell r="C557" t="str">
            <v>Recycling - Coding</v>
          </cell>
          <cell r="D557">
            <v>0</v>
          </cell>
          <cell r="E557">
            <v>2283.06</v>
          </cell>
          <cell r="F557">
            <v>0</v>
          </cell>
          <cell r="G557">
            <v>2283.06</v>
          </cell>
          <cell r="H557">
            <v>2283.06</v>
          </cell>
        </row>
        <row r="558">
          <cell r="B558" t="str">
            <v>01-10-1130-000-100-72035</v>
          </cell>
          <cell r="C558" t="str">
            <v>Phone - Coding</v>
          </cell>
          <cell r="D558">
            <v>0</v>
          </cell>
          <cell r="E558">
            <v>10252.84</v>
          </cell>
          <cell r="F558">
            <v>0</v>
          </cell>
          <cell r="G558">
            <v>10252.84</v>
          </cell>
          <cell r="H558">
            <v>10252.84</v>
          </cell>
        </row>
        <row r="559">
          <cell r="B559" t="str">
            <v>01-10-1130-000-100-72040</v>
          </cell>
          <cell r="C559" t="str">
            <v>Water - Coding</v>
          </cell>
          <cell r="D559">
            <v>0</v>
          </cell>
          <cell r="E559">
            <v>924.93</v>
          </cell>
          <cell r="F559">
            <v>0</v>
          </cell>
          <cell r="G559">
            <v>924.93</v>
          </cell>
          <cell r="H559">
            <v>924.93</v>
          </cell>
        </row>
        <row r="560">
          <cell r="B560" t="str">
            <v>01-10-1130-000-100-75005</v>
          </cell>
          <cell r="C560" t="str">
            <v>Bill UH - Printing - Coding</v>
          </cell>
          <cell r="D560">
            <v>0</v>
          </cell>
          <cell r="E560">
            <v>0</v>
          </cell>
          <cell r="F560">
            <v>22714.97</v>
          </cell>
          <cell r="G560">
            <v>-22714.97</v>
          </cell>
          <cell r="H560">
            <v>-22714.97</v>
          </cell>
        </row>
        <row r="561">
          <cell r="B561" t="str">
            <v>01-10-1130-000-100-98005</v>
          </cell>
          <cell r="C561" t="str">
            <v>FTEs-Dir Mgr-UNMMG-Coding</v>
          </cell>
          <cell r="D561">
            <v>0</v>
          </cell>
          <cell r="E561">
            <v>31</v>
          </cell>
          <cell r="F561">
            <v>31</v>
          </cell>
          <cell r="G561">
            <v>0</v>
          </cell>
          <cell r="H561">
            <v>0</v>
          </cell>
        </row>
        <row r="562">
          <cell r="B562" t="str">
            <v>01-10-1130-000-100-98006</v>
          </cell>
          <cell r="C562" t="str">
            <v>FTEs-Dir/Mgr-UNM-Coding</v>
          </cell>
          <cell r="D562">
            <v>0</v>
          </cell>
          <cell r="E562">
            <v>2</v>
          </cell>
          <cell r="F562">
            <v>2</v>
          </cell>
          <cell r="G562">
            <v>0</v>
          </cell>
          <cell r="H562">
            <v>0</v>
          </cell>
        </row>
        <row r="563">
          <cell r="B563" t="str">
            <v>01-10-1130-000-100-98010</v>
          </cell>
          <cell r="C563" t="str">
            <v>FTEs-Supervisor-UNMMG-Coding</v>
          </cell>
          <cell r="D563">
            <v>0</v>
          </cell>
          <cell r="E563">
            <v>31</v>
          </cell>
          <cell r="F563">
            <v>31</v>
          </cell>
          <cell r="G563">
            <v>0</v>
          </cell>
          <cell r="H563">
            <v>0</v>
          </cell>
        </row>
        <row r="564">
          <cell r="B564" t="str">
            <v>01-10-1130-000-100-98011</v>
          </cell>
          <cell r="C564" t="str">
            <v>FTEs-Supervisor-UNM-Coding</v>
          </cell>
          <cell r="D564">
            <v>0</v>
          </cell>
          <cell r="E564">
            <v>31</v>
          </cell>
          <cell r="F564">
            <v>31</v>
          </cell>
          <cell r="G564">
            <v>0</v>
          </cell>
          <cell r="H564">
            <v>0</v>
          </cell>
        </row>
        <row r="565">
          <cell r="B565" t="str">
            <v>01-10-1130-000-100-98014</v>
          </cell>
          <cell r="C565" t="str">
            <v>FTEs-Prof-UNM-Coding</v>
          </cell>
          <cell r="D565">
            <v>0</v>
          </cell>
          <cell r="E565">
            <v>9.5</v>
          </cell>
          <cell r="F565">
            <v>9.5</v>
          </cell>
          <cell r="G565">
            <v>0</v>
          </cell>
          <cell r="H565">
            <v>0</v>
          </cell>
        </row>
        <row r="566">
          <cell r="B566" t="str">
            <v>01-10-1130-000-100-98015</v>
          </cell>
          <cell r="C566" t="str">
            <v>FTEs-Technical-UNMMG-Coding</v>
          </cell>
          <cell r="D566">
            <v>0</v>
          </cell>
          <cell r="E566">
            <v>158</v>
          </cell>
          <cell r="F566">
            <v>158</v>
          </cell>
          <cell r="G566">
            <v>0</v>
          </cell>
          <cell r="H566">
            <v>0</v>
          </cell>
        </row>
        <row r="567">
          <cell r="B567" t="str">
            <v>01-10-1130-000-100-98016</v>
          </cell>
          <cell r="C567" t="str">
            <v>FTEs-Technical-UNM-Coding</v>
          </cell>
          <cell r="D567">
            <v>0</v>
          </cell>
          <cell r="E567">
            <v>238</v>
          </cell>
          <cell r="F567">
            <v>238</v>
          </cell>
          <cell r="G567">
            <v>0</v>
          </cell>
          <cell r="H567">
            <v>0</v>
          </cell>
        </row>
        <row r="568">
          <cell r="B568" t="str">
            <v>01-10-1130-000-100-98050</v>
          </cell>
          <cell r="C568" t="str">
            <v>FTEs-Student-UNMMG-Coding</v>
          </cell>
          <cell r="D568">
            <v>0</v>
          </cell>
          <cell r="E568">
            <v>2</v>
          </cell>
          <cell r="F568">
            <v>2</v>
          </cell>
          <cell r="G568">
            <v>0</v>
          </cell>
          <cell r="H568">
            <v>0</v>
          </cell>
        </row>
        <row r="569">
          <cell r="B569" t="str">
            <v>01-10-1135-000-000-20114</v>
          </cell>
          <cell r="C569" t="str">
            <v>Parking - Chg Entry</v>
          </cell>
          <cell r="D569">
            <v>0</v>
          </cell>
          <cell r="E569">
            <v>364</v>
          </cell>
          <cell r="F569">
            <v>364</v>
          </cell>
          <cell r="G569">
            <v>0</v>
          </cell>
          <cell r="H569">
            <v>0</v>
          </cell>
        </row>
        <row r="570">
          <cell r="B570" t="str">
            <v>01-10-1135-000-000-35010</v>
          </cell>
          <cell r="C570" t="str">
            <v>Prior Yr Fund Balance-Chg Entry</v>
          </cell>
          <cell r="D570">
            <v>0</v>
          </cell>
          <cell r="E570">
            <v>926932.58</v>
          </cell>
          <cell r="F570">
            <v>0</v>
          </cell>
          <cell r="G570">
            <v>926932.58</v>
          </cell>
          <cell r="H570">
            <v>926932.58</v>
          </cell>
        </row>
        <row r="571">
          <cell r="B571" t="str">
            <v>01-10-1135-000-100-60010</v>
          </cell>
          <cell r="C571" t="str">
            <v>Salaries-Supervisor - Chg Entry</v>
          </cell>
          <cell r="D571">
            <v>0</v>
          </cell>
          <cell r="E571">
            <v>29467.23</v>
          </cell>
          <cell r="F571">
            <v>0</v>
          </cell>
          <cell r="G571">
            <v>29467.23</v>
          </cell>
          <cell r="H571">
            <v>29467.23</v>
          </cell>
        </row>
        <row r="572">
          <cell r="B572" t="str">
            <v>01-10-1135-000-100-60015</v>
          </cell>
          <cell r="C572" t="str">
            <v>Salaries-Technical - Chg Entry</v>
          </cell>
          <cell r="D572">
            <v>0</v>
          </cell>
          <cell r="E572">
            <v>247211.59</v>
          </cell>
          <cell r="F572">
            <v>210665.48</v>
          </cell>
          <cell r="G572">
            <v>36546.11</v>
          </cell>
          <cell r="H572">
            <v>36546.11</v>
          </cell>
        </row>
        <row r="573">
          <cell r="B573" t="str">
            <v>01-10-1135-000-100-60018</v>
          </cell>
          <cell r="C573" t="str">
            <v>Salaries-Clerical - Chg Entry</v>
          </cell>
          <cell r="D573">
            <v>0</v>
          </cell>
          <cell r="E573">
            <v>888631.28</v>
          </cell>
          <cell r="F573">
            <v>296846.23</v>
          </cell>
          <cell r="G573">
            <v>591785.05000000005</v>
          </cell>
          <cell r="H573">
            <v>591785.05000000005</v>
          </cell>
        </row>
        <row r="574">
          <cell r="B574" t="str">
            <v>01-10-1135-000-100-60070</v>
          </cell>
          <cell r="C574" t="str">
            <v>Contract Labor - Chg Entry</v>
          </cell>
          <cell r="D574">
            <v>0</v>
          </cell>
          <cell r="E574">
            <v>87.57</v>
          </cell>
          <cell r="F574">
            <v>0</v>
          </cell>
          <cell r="G574">
            <v>87.57</v>
          </cell>
          <cell r="H574">
            <v>87.57</v>
          </cell>
        </row>
        <row r="575">
          <cell r="B575" t="str">
            <v>01-10-1135-000-100-63500</v>
          </cell>
          <cell r="C575" t="str">
            <v>Overtime-UNMMG-Chg Entry</v>
          </cell>
          <cell r="D575">
            <v>0</v>
          </cell>
          <cell r="E575">
            <v>2657.01</v>
          </cell>
          <cell r="F575">
            <v>57.81</v>
          </cell>
          <cell r="G575">
            <v>2599.1999999999998</v>
          </cell>
          <cell r="H575">
            <v>2599.1999999999998</v>
          </cell>
        </row>
        <row r="576">
          <cell r="B576" t="str">
            <v>01-10-1135-000-100-64000</v>
          </cell>
          <cell r="C576" t="str">
            <v>Bill UH-Salaries - Chg Entry</v>
          </cell>
          <cell r="D576">
            <v>0</v>
          </cell>
          <cell r="E576">
            <v>3127.83</v>
          </cell>
          <cell r="F576">
            <v>259164.47</v>
          </cell>
          <cell r="G576">
            <v>-256036.64</v>
          </cell>
          <cell r="H576">
            <v>-256036.64</v>
          </cell>
        </row>
        <row r="577">
          <cell r="B577" t="str">
            <v>01-10-1135-000-100-64002</v>
          </cell>
          <cell r="C577" t="str">
            <v>Billed From UH -Salaries-Chg Entry</v>
          </cell>
          <cell r="D577">
            <v>0</v>
          </cell>
          <cell r="E577">
            <v>128560.27</v>
          </cell>
          <cell r="F577">
            <v>0</v>
          </cell>
          <cell r="G577">
            <v>128560.27</v>
          </cell>
          <cell r="H577">
            <v>128560.27</v>
          </cell>
        </row>
        <row r="578">
          <cell r="B578" t="str">
            <v>01-10-1135-000-100-64050</v>
          </cell>
          <cell r="C578" t="str">
            <v>Emp Benefits-UNM - Chg Entry</v>
          </cell>
          <cell r="D578">
            <v>0</v>
          </cell>
          <cell r="E578">
            <v>252096.99</v>
          </cell>
          <cell r="F578">
            <v>106751.06</v>
          </cell>
          <cell r="G578">
            <v>145345.93</v>
          </cell>
          <cell r="H578">
            <v>145345.93</v>
          </cell>
        </row>
        <row r="579">
          <cell r="B579" t="str">
            <v>01-10-1135-000-100-64055</v>
          </cell>
          <cell r="C579" t="str">
            <v>Employee Benefits UNMMG - Chg Entry</v>
          </cell>
          <cell r="D579">
            <v>0</v>
          </cell>
          <cell r="E579">
            <v>60956.62</v>
          </cell>
          <cell r="F579">
            <v>63339.71</v>
          </cell>
          <cell r="G579">
            <v>-2383.09</v>
          </cell>
          <cell r="H579">
            <v>-2383.09</v>
          </cell>
        </row>
        <row r="580">
          <cell r="B580" t="str">
            <v>01-10-1135-000-100-65005</v>
          </cell>
          <cell r="C580" t="str">
            <v>Emp Benefits-STD - Chg Entry</v>
          </cell>
          <cell r="D580">
            <v>0</v>
          </cell>
          <cell r="E580">
            <v>817.82</v>
          </cell>
          <cell r="F580">
            <v>0</v>
          </cell>
          <cell r="G580">
            <v>817.82</v>
          </cell>
          <cell r="H580">
            <v>817.82</v>
          </cell>
        </row>
        <row r="581">
          <cell r="B581" t="str">
            <v>01-10-1135-000-100-65008</v>
          </cell>
          <cell r="C581" t="str">
            <v>Emp Benefits-Tuition - Chg Entry</v>
          </cell>
          <cell r="D581">
            <v>0</v>
          </cell>
          <cell r="E581">
            <v>751.25</v>
          </cell>
          <cell r="F581">
            <v>312.25</v>
          </cell>
          <cell r="G581">
            <v>439</v>
          </cell>
          <cell r="H581">
            <v>439</v>
          </cell>
        </row>
        <row r="582">
          <cell r="B582" t="str">
            <v>01-10-1135-000-100-67025</v>
          </cell>
          <cell r="C582" t="str">
            <v>ER 403(b) - Chg Entry</v>
          </cell>
          <cell r="D582">
            <v>0</v>
          </cell>
          <cell r="E582">
            <v>9987.33</v>
          </cell>
          <cell r="F582">
            <v>0</v>
          </cell>
          <cell r="G582">
            <v>9987.33</v>
          </cell>
          <cell r="H582">
            <v>9987.33</v>
          </cell>
        </row>
        <row r="583">
          <cell r="B583" t="str">
            <v>01-10-1135-000-100-67030</v>
          </cell>
          <cell r="C583" t="str">
            <v>ER Hlth Dental &amp; Vision - Chg Entry</v>
          </cell>
          <cell r="D583">
            <v>0</v>
          </cell>
          <cell r="E583">
            <v>26990.89</v>
          </cell>
          <cell r="F583">
            <v>0</v>
          </cell>
          <cell r="G583">
            <v>26990.89</v>
          </cell>
          <cell r="H583">
            <v>26990.89</v>
          </cell>
        </row>
        <row r="584">
          <cell r="B584" t="str">
            <v>01-10-1135-000-100-67050</v>
          </cell>
          <cell r="C584" t="str">
            <v>ER Life Ins - Chg Entry</v>
          </cell>
          <cell r="D584">
            <v>0</v>
          </cell>
          <cell r="E584">
            <v>56.58</v>
          </cell>
          <cell r="F584">
            <v>0</v>
          </cell>
          <cell r="G584">
            <v>56.58</v>
          </cell>
          <cell r="H584">
            <v>56.58</v>
          </cell>
        </row>
        <row r="585">
          <cell r="B585" t="str">
            <v>01-10-1135-000-100-67100</v>
          </cell>
          <cell r="C585" t="str">
            <v>ER Fica_Mcare - Chg Entry</v>
          </cell>
          <cell r="D585">
            <v>0</v>
          </cell>
          <cell r="E585">
            <v>13600.56</v>
          </cell>
          <cell r="F585">
            <v>0</v>
          </cell>
          <cell r="G585">
            <v>13600.56</v>
          </cell>
          <cell r="H585">
            <v>13600.56</v>
          </cell>
        </row>
        <row r="586">
          <cell r="B586" t="str">
            <v>01-10-1135-000-100-67105</v>
          </cell>
          <cell r="C586" t="str">
            <v>ER FUI - Chg Entry</v>
          </cell>
          <cell r="D586">
            <v>0</v>
          </cell>
          <cell r="E586">
            <v>336.01</v>
          </cell>
          <cell r="F586">
            <v>0</v>
          </cell>
          <cell r="G586">
            <v>336.01</v>
          </cell>
          <cell r="H586">
            <v>336.01</v>
          </cell>
        </row>
        <row r="587">
          <cell r="B587" t="str">
            <v>01-10-1135-000-100-67110</v>
          </cell>
          <cell r="C587" t="str">
            <v>ER SUI - Chg Entry</v>
          </cell>
          <cell r="D587">
            <v>0</v>
          </cell>
          <cell r="E587">
            <v>2559.19</v>
          </cell>
          <cell r="F587">
            <v>0</v>
          </cell>
          <cell r="G587">
            <v>2559.19</v>
          </cell>
          <cell r="H587">
            <v>2559.19</v>
          </cell>
        </row>
        <row r="588">
          <cell r="B588" t="str">
            <v>01-10-1135-000-100-67120</v>
          </cell>
          <cell r="C588" t="str">
            <v>Worker's Comp Fee - Chg Entry</v>
          </cell>
          <cell r="D588">
            <v>0</v>
          </cell>
          <cell r="E588">
            <v>82.19</v>
          </cell>
          <cell r="F588">
            <v>0</v>
          </cell>
          <cell r="G588">
            <v>82.19</v>
          </cell>
          <cell r="H588">
            <v>82.19</v>
          </cell>
        </row>
        <row r="589">
          <cell r="B589" t="str">
            <v>01-10-1135-000-100-70025</v>
          </cell>
          <cell r="C589" t="str">
            <v>Books &amp; Publications - Chg Entry</v>
          </cell>
          <cell r="D589">
            <v>0</v>
          </cell>
          <cell r="E589">
            <v>1431.01</v>
          </cell>
          <cell r="F589">
            <v>1112.1400000000001</v>
          </cell>
          <cell r="G589">
            <v>318.87</v>
          </cell>
          <cell r="H589">
            <v>318.87</v>
          </cell>
        </row>
        <row r="590">
          <cell r="B590" t="str">
            <v>01-10-1135-000-100-70028</v>
          </cell>
          <cell r="C590" t="str">
            <v>Copier - Chg Entry</v>
          </cell>
          <cell r="D590">
            <v>0</v>
          </cell>
          <cell r="E590">
            <v>18559.04</v>
          </cell>
          <cell r="F590">
            <v>739.76</v>
          </cell>
          <cell r="G590">
            <v>17819.28</v>
          </cell>
          <cell r="H590">
            <v>17819.28</v>
          </cell>
        </row>
        <row r="591">
          <cell r="B591" t="str">
            <v>01-10-1135-000-100-70030</v>
          </cell>
          <cell r="C591" t="str">
            <v>Dues &amp; Memberships - Chg Entry</v>
          </cell>
          <cell r="D591">
            <v>0</v>
          </cell>
          <cell r="E591">
            <v>425</v>
          </cell>
          <cell r="F591">
            <v>0</v>
          </cell>
          <cell r="G591">
            <v>425</v>
          </cell>
          <cell r="H591">
            <v>425</v>
          </cell>
        </row>
        <row r="592">
          <cell r="B592" t="str">
            <v>01-10-1135-000-100-70040</v>
          </cell>
          <cell r="C592" t="str">
            <v>Materials &amp; Services - Chg Entry</v>
          </cell>
          <cell r="D592">
            <v>0</v>
          </cell>
          <cell r="E592">
            <v>202702.4</v>
          </cell>
          <cell r="F592">
            <v>77000</v>
          </cell>
          <cell r="G592">
            <v>125702.39999999999</v>
          </cell>
          <cell r="H592">
            <v>125702.39999999999</v>
          </cell>
        </row>
        <row r="593">
          <cell r="B593" t="str">
            <v>01-10-1135-000-100-70055</v>
          </cell>
          <cell r="C593" t="str">
            <v>Postage &amp; Shipping - Chg Entry</v>
          </cell>
          <cell r="D593">
            <v>0</v>
          </cell>
          <cell r="E593">
            <v>2941.09</v>
          </cell>
          <cell r="F593">
            <v>394.22</v>
          </cell>
          <cell r="G593">
            <v>2546.87</v>
          </cell>
          <cell r="H593">
            <v>2546.87</v>
          </cell>
        </row>
        <row r="594">
          <cell r="B594" t="str">
            <v>01-10-1135-000-100-70100</v>
          </cell>
          <cell r="C594" t="str">
            <v>Office Supplies - Chg Entry</v>
          </cell>
          <cell r="D594">
            <v>0</v>
          </cell>
          <cell r="E594">
            <v>5954.01</v>
          </cell>
          <cell r="F594">
            <v>545.42999999999995</v>
          </cell>
          <cell r="G594">
            <v>5408.58</v>
          </cell>
          <cell r="H594">
            <v>5408.58</v>
          </cell>
        </row>
        <row r="595">
          <cell r="B595" t="str">
            <v>01-10-1135-000-100-70550</v>
          </cell>
          <cell r="C595" t="str">
            <v>Furn Fix &amp; Remodel - Chg Entry</v>
          </cell>
          <cell r="D595">
            <v>0</v>
          </cell>
          <cell r="E595">
            <v>2384.81</v>
          </cell>
          <cell r="F595">
            <v>315.64999999999998</v>
          </cell>
          <cell r="G595">
            <v>2069.16</v>
          </cell>
          <cell r="H595">
            <v>2069.16</v>
          </cell>
        </row>
        <row r="596">
          <cell r="B596" t="str">
            <v>01-10-1135-000-100-71020</v>
          </cell>
          <cell r="C596" t="str">
            <v>Storage - Chg Entry</v>
          </cell>
          <cell r="D596">
            <v>0</v>
          </cell>
          <cell r="E596">
            <v>838.64</v>
          </cell>
          <cell r="F596">
            <v>334.26</v>
          </cell>
          <cell r="G596">
            <v>504.38</v>
          </cell>
          <cell r="H596">
            <v>504.38</v>
          </cell>
        </row>
        <row r="597">
          <cell r="B597" t="str">
            <v>01-10-1135-000-100-72030</v>
          </cell>
          <cell r="C597" t="str">
            <v>Recycling - Charge Entry</v>
          </cell>
          <cell r="D597">
            <v>0</v>
          </cell>
          <cell r="E597">
            <v>1381.68</v>
          </cell>
          <cell r="F597">
            <v>0</v>
          </cell>
          <cell r="G597">
            <v>1381.68</v>
          </cell>
          <cell r="H597">
            <v>1381.68</v>
          </cell>
        </row>
        <row r="598">
          <cell r="B598" t="str">
            <v>01-10-1135-000-100-72035</v>
          </cell>
          <cell r="C598" t="str">
            <v>Phone - Chg Entry</v>
          </cell>
          <cell r="D598">
            <v>0</v>
          </cell>
          <cell r="E598">
            <v>540</v>
          </cell>
          <cell r="F598">
            <v>0</v>
          </cell>
          <cell r="G598">
            <v>540</v>
          </cell>
          <cell r="H598">
            <v>540</v>
          </cell>
        </row>
        <row r="599">
          <cell r="B599" t="str">
            <v>01-10-1135-000-100-72040</v>
          </cell>
          <cell r="C599" t="str">
            <v>Water - Charge Entry</v>
          </cell>
          <cell r="D599">
            <v>0</v>
          </cell>
          <cell r="E599">
            <v>555.82000000000005</v>
          </cell>
          <cell r="F599">
            <v>0</v>
          </cell>
          <cell r="G599">
            <v>555.82000000000005</v>
          </cell>
          <cell r="H599">
            <v>555.82000000000005</v>
          </cell>
        </row>
        <row r="600">
          <cell r="B600" t="str">
            <v>01-10-1135-000-100-98010</v>
          </cell>
          <cell r="C600" t="str">
            <v>FTEs-Supervisor-UNMMG-Chg Entry</v>
          </cell>
          <cell r="D600">
            <v>0</v>
          </cell>
          <cell r="E600">
            <v>14</v>
          </cell>
          <cell r="F600">
            <v>14</v>
          </cell>
          <cell r="G600">
            <v>0</v>
          </cell>
          <cell r="H600">
            <v>0</v>
          </cell>
        </row>
        <row r="601">
          <cell r="B601" t="str">
            <v>01-10-1135-000-100-98016</v>
          </cell>
          <cell r="C601" t="str">
            <v>FTEs-Technical-UNM-ChgEntry</v>
          </cell>
          <cell r="D601">
            <v>0</v>
          </cell>
          <cell r="E601">
            <v>14</v>
          </cell>
          <cell r="F601">
            <v>14</v>
          </cell>
          <cell r="G601">
            <v>0</v>
          </cell>
          <cell r="H601">
            <v>0</v>
          </cell>
        </row>
        <row r="602">
          <cell r="B602" t="str">
            <v>01-10-1135-000-100-98018</v>
          </cell>
          <cell r="C602" t="str">
            <v>FTEs-Clerical-UNMMG-Chg Entry</v>
          </cell>
          <cell r="D602">
            <v>0</v>
          </cell>
          <cell r="E602">
            <v>70</v>
          </cell>
          <cell r="F602">
            <v>70</v>
          </cell>
          <cell r="G602">
            <v>0</v>
          </cell>
          <cell r="H602">
            <v>0</v>
          </cell>
        </row>
        <row r="603">
          <cell r="B603" t="str">
            <v>01-10-1135-000-100-98019</v>
          </cell>
          <cell r="C603" t="str">
            <v>FTEs-Clerical-UNM-Chg Entry</v>
          </cell>
          <cell r="D603">
            <v>0</v>
          </cell>
          <cell r="E603">
            <v>201</v>
          </cell>
          <cell r="F603">
            <v>201</v>
          </cell>
          <cell r="G603">
            <v>0</v>
          </cell>
          <cell r="H603">
            <v>0</v>
          </cell>
        </row>
        <row r="604">
          <cell r="B604" t="str">
            <v>01-10-1150-000-000-35010</v>
          </cell>
          <cell r="C604" t="str">
            <v>Prior Yr Fund Balance-SVP Clinical Ops</v>
          </cell>
          <cell r="D604">
            <v>0</v>
          </cell>
          <cell r="E604">
            <v>88412.800000000003</v>
          </cell>
          <cell r="F604">
            <v>0</v>
          </cell>
          <cell r="G604">
            <v>88412.800000000003</v>
          </cell>
          <cell r="H604">
            <v>88412.800000000003</v>
          </cell>
        </row>
        <row r="605">
          <cell r="B605" t="str">
            <v>01-10-1150-000-100-60015</v>
          </cell>
          <cell r="C605" t="str">
            <v>Salaries-Technical - SVP Clinical Ops</v>
          </cell>
          <cell r="D605">
            <v>0</v>
          </cell>
          <cell r="E605">
            <v>8215.0499999999993</v>
          </cell>
          <cell r="F605">
            <v>8215.0499999999993</v>
          </cell>
          <cell r="G605">
            <v>0</v>
          </cell>
          <cell r="H605">
            <v>0</v>
          </cell>
        </row>
        <row r="606">
          <cell r="B606" t="str">
            <v>01-10-1150-000-100-60018</v>
          </cell>
          <cell r="C606" t="str">
            <v>Salaries-Clerical - SVP Clinical Ops</v>
          </cell>
          <cell r="D606">
            <v>0</v>
          </cell>
          <cell r="E606">
            <v>46781.29</v>
          </cell>
          <cell r="F606">
            <v>14028.57</v>
          </cell>
          <cell r="G606">
            <v>32752.720000000001</v>
          </cell>
          <cell r="H606">
            <v>32752.720000000001</v>
          </cell>
        </row>
        <row r="607">
          <cell r="B607" t="str">
            <v>01-10-1150-000-100-60080</v>
          </cell>
          <cell r="C607" t="str">
            <v>Medical Director Fees-Clinical Ops</v>
          </cell>
          <cell r="D607">
            <v>0</v>
          </cell>
          <cell r="E607">
            <v>132778.57999999999</v>
          </cell>
          <cell r="F607">
            <v>2083.33</v>
          </cell>
          <cell r="G607">
            <v>130695.25</v>
          </cell>
          <cell r="H607">
            <v>130695.25</v>
          </cell>
        </row>
        <row r="608">
          <cell r="B608" t="str">
            <v>01-10-1150-000-100-63500</v>
          </cell>
          <cell r="C608" t="str">
            <v>Overtime-UNMMG-Clinical Ops</v>
          </cell>
          <cell r="D608">
            <v>0</v>
          </cell>
          <cell r="E608">
            <v>408.75</v>
          </cell>
          <cell r="F608">
            <v>0.2</v>
          </cell>
          <cell r="G608">
            <v>408.55</v>
          </cell>
          <cell r="H608">
            <v>408.55</v>
          </cell>
        </row>
        <row r="609">
          <cell r="B609" t="str">
            <v>01-10-1150-000-100-64050</v>
          </cell>
          <cell r="C609" t="str">
            <v>Emp Benefits-UNM - SVP Clinical Ops</v>
          </cell>
          <cell r="D609">
            <v>0</v>
          </cell>
          <cell r="E609">
            <v>20441.169999999998</v>
          </cell>
          <cell r="F609">
            <v>396.17</v>
          </cell>
          <cell r="G609">
            <v>20045</v>
          </cell>
          <cell r="H609">
            <v>20045</v>
          </cell>
        </row>
        <row r="610">
          <cell r="B610" t="str">
            <v>01-10-1150-000-100-64055</v>
          </cell>
          <cell r="C610" t="str">
            <v>Employee Benefits UNMMG - SVP Clinical Ops</v>
          </cell>
          <cell r="D610">
            <v>0</v>
          </cell>
          <cell r="E610">
            <v>5451.23</v>
          </cell>
          <cell r="F610">
            <v>4714.67</v>
          </cell>
          <cell r="G610">
            <v>736.56</v>
          </cell>
          <cell r="H610">
            <v>736.56</v>
          </cell>
        </row>
        <row r="611">
          <cell r="B611" t="str">
            <v>01-10-1150-000-100-65005</v>
          </cell>
          <cell r="C611" t="str">
            <v>Emp Benefits-STD - SVP Clinical Ops</v>
          </cell>
          <cell r="D611">
            <v>0</v>
          </cell>
          <cell r="E611">
            <v>143.19999999999999</v>
          </cell>
          <cell r="F611">
            <v>0</v>
          </cell>
          <cell r="G611">
            <v>143.19999999999999</v>
          </cell>
          <cell r="H611">
            <v>143.19999999999999</v>
          </cell>
        </row>
        <row r="612">
          <cell r="B612" t="str">
            <v>01-10-1150-000-100-67025</v>
          </cell>
          <cell r="C612" t="str">
            <v>ER 403(b) - SVP Clinical Ops</v>
          </cell>
          <cell r="D612">
            <v>0</v>
          </cell>
          <cell r="E612">
            <v>968.16</v>
          </cell>
          <cell r="F612">
            <v>0</v>
          </cell>
          <cell r="G612">
            <v>968.16</v>
          </cell>
          <cell r="H612">
            <v>968.16</v>
          </cell>
        </row>
        <row r="613">
          <cell r="B613" t="str">
            <v>01-10-1150-000-100-67030</v>
          </cell>
          <cell r="C613" t="str">
            <v>ER Hlth Dental &amp; Vision - SVP Clinical Ops</v>
          </cell>
          <cell r="D613">
            <v>0</v>
          </cell>
          <cell r="E613">
            <v>3534.08</v>
          </cell>
          <cell r="F613">
            <v>0</v>
          </cell>
          <cell r="G613">
            <v>3534.08</v>
          </cell>
          <cell r="H613">
            <v>3534.08</v>
          </cell>
        </row>
        <row r="614">
          <cell r="B614" t="str">
            <v>01-10-1150-000-100-67100</v>
          </cell>
          <cell r="C614" t="str">
            <v>ER Fica_Mcare - SVP Clinical Ops</v>
          </cell>
          <cell r="D614">
            <v>0</v>
          </cell>
          <cell r="E614">
            <v>2452.0500000000002</v>
          </cell>
          <cell r="F614">
            <v>0</v>
          </cell>
          <cell r="G614">
            <v>2452.0500000000002</v>
          </cell>
          <cell r="H614">
            <v>2452.0500000000002</v>
          </cell>
        </row>
        <row r="615">
          <cell r="B615" t="str">
            <v>01-10-1150-000-100-67105</v>
          </cell>
          <cell r="C615" t="str">
            <v>ER FUI - SVP Clinical Ops</v>
          </cell>
          <cell r="D615">
            <v>0</v>
          </cell>
          <cell r="E615">
            <v>112</v>
          </cell>
          <cell r="F615">
            <v>0</v>
          </cell>
          <cell r="G615">
            <v>112</v>
          </cell>
          <cell r="H615">
            <v>112</v>
          </cell>
        </row>
        <row r="616">
          <cell r="B616" t="str">
            <v>01-10-1150-000-100-67110</v>
          </cell>
          <cell r="C616" t="str">
            <v>ER SUI - SVP Clinical Ops</v>
          </cell>
          <cell r="D616">
            <v>0</v>
          </cell>
          <cell r="E616">
            <v>641.02</v>
          </cell>
          <cell r="F616">
            <v>0</v>
          </cell>
          <cell r="G616">
            <v>641.02</v>
          </cell>
          <cell r="H616">
            <v>641.02</v>
          </cell>
        </row>
        <row r="617">
          <cell r="B617" t="str">
            <v>01-10-1150-000-100-70025</v>
          </cell>
          <cell r="C617" t="str">
            <v>Books &amp; Publications - SVP Clinical Ops</v>
          </cell>
          <cell r="D617">
            <v>0</v>
          </cell>
          <cell r="E617">
            <v>130</v>
          </cell>
          <cell r="F617">
            <v>130</v>
          </cell>
          <cell r="G617">
            <v>0</v>
          </cell>
          <cell r="H617">
            <v>0</v>
          </cell>
        </row>
        <row r="618">
          <cell r="B618" t="str">
            <v>01-10-1150-000-100-70030</v>
          </cell>
          <cell r="C618" t="str">
            <v>Dues &amp; Memberships - SVP Clinical Ops</v>
          </cell>
          <cell r="D618">
            <v>0</v>
          </cell>
          <cell r="E618">
            <v>361.6</v>
          </cell>
          <cell r="F618">
            <v>77.900000000000006</v>
          </cell>
          <cell r="G618">
            <v>283.7</v>
          </cell>
          <cell r="H618">
            <v>283.7</v>
          </cell>
        </row>
        <row r="619">
          <cell r="B619" t="str">
            <v>01-10-1150-000-100-70055</v>
          </cell>
          <cell r="C619" t="str">
            <v>Postage &amp; Shipping - SVP Clinical Ops</v>
          </cell>
          <cell r="D619">
            <v>0</v>
          </cell>
          <cell r="E619">
            <v>18.690000000000001</v>
          </cell>
          <cell r="F619">
            <v>0</v>
          </cell>
          <cell r="G619">
            <v>18.690000000000001</v>
          </cell>
          <cell r="H619">
            <v>18.690000000000001</v>
          </cell>
        </row>
        <row r="620">
          <cell r="B620" t="str">
            <v>01-10-1150-000-100-70075</v>
          </cell>
          <cell r="C620" t="str">
            <v>Staff Dev - SVP Clinical Ops</v>
          </cell>
          <cell r="D620">
            <v>0</v>
          </cell>
          <cell r="E620">
            <v>3350</v>
          </cell>
          <cell r="F620">
            <v>0</v>
          </cell>
          <cell r="G620">
            <v>3350</v>
          </cell>
          <cell r="H620">
            <v>3350</v>
          </cell>
        </row>
        <row r="621">
          <cell r="B621" t="str">
            <v>01-10-1150-000-100-70090</v>
          </cell>
          <cell r="C621" t="str">
            <v>Travel - SVP Clinical Ops</v>
          </cell>
          <cell r="D621">
            <v>0</v>
          </cell>
          <cell r="E621">
            <v>5337.81</v>
          </cell>
          <cell r="F621">
            <v>2092.5</v>
          </cell>
          <cell r="G621">
            <v>3245.31</v>
          </cell>
          <cell r="H621">
            <v>3245.31</v>
          </cell>
        </row>
        <row r="622">
          <cell r="B622" t="str">
            <v>01-10-1150-000-100-70095</v>
          </cell>
          <cell r="C622" t="str">
            <v>Mileage - SVP, Clinical Ops</v>
          </cell>
          <cell r="D622">
            <v>0</v>
          </cell>
          <cell r="E622">
            <v>69</v>
          </cell>
          <cell r="F622">
            <v>0</v>
          </cell>
          <cell r="G622">
            <v>69</v>
          </cell>
          <cell r="H622">
            <v>69</v>
          </cell>
        </row>
        <row r="623">
          <cell r="B623" t="str">
            <v>01-10-1150-000-100-70100</v>
          </cell>
          <cell r="C623" t="str">
            <v>Office Supplies - SVP Clinical Ops</v>
          </cell>
          <cell r="D623">
            <v>0</v>
          </cell>
          <cell r="E623">
            <v>6789.61</v>
          </cell>
          <cell r="F623">
            <v>6174.45</v>
          </cell>
          <cell r="G623">
            <v>615.16</v>
          </cell>
          <cell r="H623">
            <v>615.16</v>
          </cell>
        </row>
        <row r="624">
          <cell r="B624" t="str">
            <v>01-10-1150-000-100-72035</v>
          </cell>
          <cell r="C624" t="str">
            <v>Phone - SVP Clinical Ops</v>
          </cell>
          <cell r="D624">
            <v>0</v>
          </cell>
          <cell r="E624">
            <v>2163.96</v>
          </cell>
          <cell r="F624">
            <v>0.01</v>
          </cell>
          <cell r="G624">
            <v>2163.9499999999998</v>
          </cell>
          <cell r="H624">
            <v>2163.9499999999998</v>
          </cell>
        </row>
        <row r="625">
          <cell r="B625" t="str">
            <v>01-10-1150-000-100-98018</v>
          </cell>
          <cell r="C625" t="str">
            <v>FTEs-Clerical-UNMMG-SVP Clinical Ops</v>
          </cell>
          <cell r="D625">
            <v>0</v>
          </cell>
          <cell r="E625">
            <v>14</v>
          </cell>
          <cell r="F625">
            <v>14</v>
          </cell>
          <cell r="G625">
            <v>0</v>
          </cell>
          <cell r="H625">
            <v>0</v>
          </cell>
        </row>
        <row r="626">
          <cell r="B626" t="str">
            <v>01-10-1150-000-100-98081</v>
          </cell>
          <cell r="C626" t="str">
            <v>FTEs-Med Dir-UNM-Clinical Ops</v>
          </cell>
          <cell r="D626">
            <v>0</v>
          </cell>
          <cell r="E626">
            <v>7</v>
          </cell>
          <cell r="F626">
            <v>7</v>
          </cell>
          <cell r="G626">
            <v>0</v>
          </cell>
          <cell r="H626">
            <v>0</v>
          </cell>
        </row>
        <row r="627">
          <cell r="B627" t="str">
            <v>01-10-1180-000-000-20099</v>
          </cell>
          <cell r="C627" t="str">
            <v>Accrued Payroll Expense -Practice Mgmt</v>
          </cell>
          <cell r="D627">
            <v>0</v>
          </cell>
          <cell r="E627">
            <v>499.13</v>
          </cell>
          <cell r="F627">
            <v>499.13</v>
          </cell>
          <cell r="G627">
            <v>0</v>
          </cell>
          <cell r="H627">
            <v>0</v>
          </cell>
        </row>
        <row r="628">
          <cell r="B628" t="str">
            <v>01-10-1180-000-000-35010</v>
          </cell>
          <cell r="C628" t="str">
            <v>Prior Yr Fund Balance-Practice Mgmt</v>
          </cell>
          <cell r="D628">
            <v>0</v>
          </cell>
          <cell r="E628">
            <v>199472.75</v>
          </cell>
          <cell r="F628">
            <v>0</v>
          </cell>
          <cell r="G628">
            <v>199472.75</v>
          </cell>
          <cell r="H628">
            <v>199472.75</v>
          </cell>
        </row>
        <row r="629">
          <cell r="B629" t="str">
            <v>01-10-1180-000-100-60005</v>
          </cell>
          <cell r="C629" t="str">
            <v>Salaries-Dir Mgr - Practice Mgmt</v>
          </cell>
          <cell r="D629">
            <v>0</v>
          </cell>
          <cell r="E629">
            <v>89270.399999999994</v>
          </cell>
          <cell r="F629">
            <v>0</v>
          </cell>
          <cell r="G629">
            <v>89270.399999999994</v>
          </cell>
          <cell r="H629">
            <v>89270.399999999994</v>
          </cell>
        </row>
        <row r="630">
          <cell r="B630" t="str">
            <v>01-10-1180-000-100-60015</v>
          </cell>
          <cell r="C630" t="str">
            <v>Salaries-Technical - Practice Mgmt</v>
          </cell>
          <cell r="D630">
            <v>0</v>
          </cell>
          <cell r="E630">
            <v>22913.68</v>
          </cell>
          <cell r="F630">
            <v>22913.68</v>
          </cell>
          <cell r="G630">
            <v>0</v>
          </cell>
          <cell r="H630">
            <v>0</v>
          </cell>
        </row>
        <row r="631">
          <cell r="B631" t="str">
            <v>01-10-1180-000-100-60018</v>
          </cell>
          <cell r="C631" t="str">
            <v>Salaries-Clerical - Practice Mgmt</v>
          </cell>
          <cell r="D631">
            <v>0</v>
          </cell>
          <cell r="E631">
            <v>77718.240000000005</v>
          </cell>
          <cell r="F631">
            <v>34630.15</v>
          </cell>
          <cell r="G631">
            <v>43088.09</v>
          </cell>
          <cell r="H631">
            <v>43088.09</v>
          </cell>
        </row>
        <row r="632">
          <cell r="B632" t="str">
            <v>01-10-1180-000-100-60025</v>
          </cell>
          <cell r="C632" t="str">
            <v>Patient Svcs Coordinator - Practice Mgmt</v>
          </cell>
          <cell r="D632">
            <v>0</v>
          </cell>
          <cell r="E632">
            <v>86718.82</v>
          </cell>
          <cell r="F632">
            <v>22510.76</v>
          </cell>
          <cell r="G632">
            <v>64208.06</v>
          </cell>
          <cell r="H632">
            <v>64208.06</v>
          </cell>
        </row>
        <row r="633">
          <cell r="B633" t="str">
            <v>01-10-1180-000-100-62010</v>
          </cell>
          <cell r="C633" t="str">
            <v>Salaries-RN-Pract Mgmt</v>
          </cell>
          <cell r="D633">
            <v>0</v>
          </cell>
          <cell r="E633">
            <v>21805.11</v>
          </cell>
          <cell r="F633">
            <v>3959.62</v>
          </cell>
          <cell r="G633">
            <v>17845.490000000002</v>
          </cell>
          <cell r="H633">
            <v>17845.490000000002</v>
          </cell>
        </row>
        <row r="634">
          <cell r="B634" t="str">
            <v>01-10-1180-000-100-62025</v>
          </cell>
          <cell r="C634" t="str">
            <v>Salaries-MA - Practice Management</v>
          </cell>
          <cell r="D634">
            <v>0</v>
          </cell>
          <cell r="E634">
            <v>32645.22</v>
          </cell>
          <cell r="F634">
            <v>7592.89</v>
          </cell>
          <cell r="G634">
            <v>25052.33</v>
          </cell>
          <cell r="H634">
            <v>25052.33</v>
          </cell>
        </row>
        <row r="635">
          <cell r="B635" t="str">
            <v>01-10-1180-000-100-62090</v>
          </cell>
          <cell r="C635" t="str">
            <v>Salaries - Dental Assisitant -Practice Mgmt</v>
          </cell>
          <cell r="D635">
            <v>0</v>
          </cell>
          <cell r="E635">
            <v>16223.74</v>
          </cell>
          <cell r="F635">
            <v>3676.54</v>
          </cell>
          <cell r="G635">
            <v>12547.2</v>
          </cell>
          <cell r="H635">
            <v>12547.2</v>
          </cell>
        </row>
        <row r="636">
          <cell r="B636" t="str">
            <v>01-10-1180-000-100-63500</v>
          </cell>
          <cell r="C636" t="str">
            <v>Overtime-UNMMG-Practice Mgmt</v>
          </cell>
          <cell r="D636">
            <v>0</v>
          </cell>
          <cell r="E636">
            <v>855.91</v>
          </cell>
          <cell r="F636">
            <v>0</v>
          </cell>
          <cell r="G636">
            <v>855.91</v>
          </cell>
          <cell r="H636">
            <v>855.91</v>
          </cell>
        </row>
        <row r="637">
          <cell r="B637" t="str">
            <v>01-10-1180-000-100-64002</v>
          </cell>
          <cell r="C637" t="str">
            <v>Billed From UH - Practice Mgmt</v>
          </cell>
          <cell r="D637">
            <v>0</v>
          </cell>
          <cell r="E637">
            <v>116789.49</v>
          </cell>
          <cell r="F637">
            <v>9984.7999999999993</v>
          </cell>
          <cell r="G637">
            <v>106804.69</v>
          </cell>
          <cell r="H637">
            <v>106804.69</v>
          </cell>
        </row>
        <row r="638">
          <cell r="B638" t="str">
            <v>01-10-1180-000-100-64055</v>
          </cell>
          <cell r="C638" t="str">
            <v>Employee Benefits UNMMG - Practice Mgmt</v>
          </cell>
          <cell r="D638">
            <v>0</v>
          </cell>
          <cell r="E638">
            <v>34618.660000000003</v>
          </cell>
          <cell r="F638">
            <v>30673.919999999998</v>
          </cell>
          <cell r="G638">
            <v>3944.74</v>
          </cell>
          <cell r="H638">
            <v>3944.74</v>
          </cell>
        </row>
        <row r="639">
          <cell r="B639" t="str">
            <v>01-10-1180-000-100-65005</v>
          </cell>
          <cell r="C639" t="str">
            <v>Emp Benefits-STD - Practice Mgmt</v>
          </cell>
          <cell r="D639">
            <v>0</v>
          </cell>
          <cell r="E639">
            <v>1065.78</v>
          </cell>
          <cell r="F639">
            <v>0</v>
          </cell>
          <cell r="G639">
            <v>1065.78</v>
          </cell>
          <cell r="H639">
            <v>1065.78</v>
          </cell>
        </row>
        <row r="640">
          <cell r="B640" t="str">
            <v>01-10-1180-000-100-65008</v>
          </cell>
          <cell r="C640" t="str">
            <v>Emp Benefits-Tuition - Practice Mgmt</v>
          </cell>
          <cell r="D640">
            <v>0</v>
          </cell>
          <cell r="E640">
            <v>6218</v>
          </cell>
          <cell r="F640">
            <v>1589</v>
          </cell>
          <cell r="G640">
            <v>4629</v>
          </cell>
          <cell r="H640">
            <v>4629</v>
          </cell>
        </row>
        <row r="641">
          <cell r="B641" t="str">
            <v>01-10-1180-000-100-67025</v>
          </cell>
          <cell r="C641" t="str">
            <v>ER 403(b) - Practice Mgmt</v>
          </cell>
          <cell r="D641">
            <v>0</v>
          </cell>
          <cell r="E641">
            <v>5654.51</v>
          </cell>
          <cell r="F641">
            <v>0</v>
          </cell>
          <cell r="G641">
            <v>5654.51</v>
          </cell>
          <cell r="H641">
            <v>5654.51</v>
          </cell>
        </row>
        <row r="642">
          <cell r="B642" t="str">
            <v>01-10-1180-000-100-67030</v>
          </cell>
          <cell r="C642" t="str">
            <v>ER Hlth Dental &amp; Vision - Practice Mgmt</v>
          </cell>
          <cell r="D642">
            <v>0</v>
          </cell>
          <cell r="E642">
            <v>22550.22</v>
          </cell>
          <cell r="F642">
            <v>0</v>
          </cell>
          <cell r="G642">
            <v>22550.22</v>
          </cell>
          <cell r="H642">
            <v>22550.22</v>
          </cell>
        </row>
        <row r="643">
          <cell r="B643" t="str">
            <v>01-10-1180-000-100-67050</v>
          </cell>
          <cell r="C643" t="str">
            <v>ER Life Ins - Practice Mgmt</v>
          </cell>
          <cell r="D643">
            <v>0</v>
          </cell>
          <cell r="E643">
            <v>638.87</v>
          </cell>
          <cell r="F643">
            <v>0</v>
          </cell>
          <cell r="G643">
            <v>638.87</v>
          </cell>
          <cell r="H643">
            <v>638.87</v>
          </cell>
        </row>
        <row r="644">
          <cell r="B644" t="str">
            <v>01-10-1180-000-100-67100</v>
          </cell>
          <cell r="C644" t="str">
            <v>ER Fica_Mcare - Practice Mgmt</v>
          </cell>
          <cell r="D644">
            <v>0</v>
          </cell>
          <cell r="E644">
            <v>19181.98</v>
          </cell>
          <cell r="F644">
            <v>0</v>
          </cell>
          <cell r="G644">
            <v>19181.98</v>
          </cell>
          <cell r="H644">
            <v>19181.98</v>
          </cell>
        </row>
        <row r="645">
          <cell r="B645" t="str">
            <v>01-10-1180-000-100-67105</v>
          </cell>
          <cell r="C645" t="str">
            <v>ER FUI - Practice Mgmt</v>
          </cell>
          <cell r="D645">
            <v>0</v>
          </cell>
          <cell r="E645">
            <v>529.92999999999995</v>
          </cell>
          <cell r="F645">
            <v>0</v>
          </cell>
          <cell r="G645">
            <v>529.92999999999995</v>
          </cell>
          <cell r="H645">
            <v>529.92999999999995</v>
          </cell>
        </row>
        <row r="646">
          <cell r="B646" t="str">
            <v>01-10-1180-000-100-67110</v>
          </cell>
          <cell r="C646" t="str">
            <v>ER SUI - Practice Mgmt</v>
          </cell>
          <cell r="D646">
            <v>0</v>
          </cell>
          <cell r="E646">
            <v>3409.35</v>
          </cell>
          <cell r="F646">
            <v>0</v>
          </cell>
          <cell r="G646">
            <v>3409.35</v>
          </cell>
          <cell r="H646">
            <v>3409.35</v>
          </cell>
        </row>
        <row r="647">
          <cell r="B647" t="str">
            <v>01-10-1180-000-100-67120</v>
          </cell>
          <cell r="C647" t="str">
            <v>Worker's Comp Fee - Practice Mgmt</v>
          </cell>
          <cell r="D647">
            <v>0</v>
          </cell>
          <cell r="E647">
            <v>26.15</v>
          </cell>
          <cell r="F647">
            <v>0</v>
          </cell>
          <cell r="G647">
            <v>26.15</v>
          </cell>
          <cell r="H647">
            <v>26.15</v>
          </cell>
        </row>
        <row r="648">
          <cell r="B648" t="str">
            <v>01-10-1180-000-100-70005</v>
          </cell>
          <cell r="C648" t="str">
            <v>Advertising - Practice Mgmt</v>
          </cell>
          <cell r="D648">
            <v>0</v>
          </cell>
          <cell r="E648">
            <v>191</v>
          </cell>
          <cell r="F648">
            <v>0</v>
          </cell>
          <cell r="G648">
            <v>191</v>
          </cell>
          <cell r="H648">
            <v>191</v>
          </cell>
        </row>
        <row r="649">
          <cell r="B649" t="str">
            <v>01-10-1180-000-100-70025</v>
          </cell>
          <cell r="C649" t="str">
            <v>Books &amp; Publications - Practice Mgmt</v>
          </cell>
          <cell r="D649">
            <v>0</v>
          </cell>
          <cell r="E649">
            <v>965</v>
          </cell>
          <cell r="F649">
            <v>0</v>
          </cell>
          <cell r="G649">
            <v>965</v>
          </cell>
          <cell r="H649">
            <v>965</v>
          </cell>
        </row>
        <row r="650">
          <cell r="B650" t="str">
            <v>01-10-1180-000-100-70028</v>
          </cell>
          <cell r="C650" t="str">
            <v>Copier - Practice Mgmt</v>
          </cell>
          <cell r="D650">
            <v>0</v>
          </cell>
          <cell r="E650">
            <v>5805.86</v>
          </cell>
          <cell r="F650">
            <v>96.49</v>
          </cell>
          <cell r="G650">
            <v>5709.37</v>
          </cell>
          <cell r="H650">
            <v>5709.37</v>
          </cell>
        </row>
        <row r="651">
          <cell r="B651" t="str">
            <v>01-10-1180-000-100-70030</v>
          </cell>
          <cell r="C651" t="str">
            <v>Dues &amp; Memberships - Practice Mgmt</v>
          </cell>
          <cell r="D651">
            <v>0</v>
          </cell>
          <cell r="E651">
            <v>77.900000000000006</v>
          </cell>
          <cell r="F651">
            <v>0</v>
          </cell>
          <cell r="G651">
            <v>77.900000000000006</v>
          </cell>
          <cell r="H651">
            <v>77.900000000000006</v>
          </cell>
        </row>
        <row r="652">
          <cell r="B652" t="str">
            <v>01-10-1180-000-100-70039</v>
          </cell>
          <cell r="C652" t="str">
            <v>Licenses &amp; Fees - Practice Mngmnt</v>
          </cell>
          <cell r="D652">
            <v>0</v>
          </cell>
          <cell r="E652">
            <v>70</v>
          </cell>
          <cell r="F652">
            <v>0</v>
          </cell>
          <cell r="G652">
            <v>70</v>
          </cell>
          <cell r="H652">
            <v>70</v>
          </cell>
        </row>
        <row r="653">
          <cell r="B653" t="str">
            <v>01-10-1180-000-100-70045</v>
          </cell>
          <cell r="C653" t="str">
            <v>Meetings &amp; Conferences - Practice Mgmt</v>
          </cell>
          <cell r="D653">
            <v>0</v>
          </cell>
          <cell r="E653">
            <v>1161.2</v>
          </cell>
          <cell r="F653">
            <v>0</v>
          </cell>
          <cell r="G653">
            <v>1161.2</v>
          </cell>
          <cell r="H653">
            <v>1161.2</v>
          </cell>
        </row>
        <row r="654">
          <cell r="B654" t="str">
            <v>01-10-1180-000-100-70055</v>
          </cell>
          <cell r="C654" t="str">
            <v>Postage &amp; Shipping - Practice Mgmt</v>
          </cell>
          <cell r="D654">
            <v>0</v>
          </cell>
          <cell r="E654">
            <v>1077.51</v>
          </cell>
          <cell r="F654">
            <v>87.14</v>
          </cell>
          <cell r="G654">
            <v>990.37</v>
          </cell>
          <cell r="H654">
            <v>990.37</v>
          </cell>
        </row>
        <row r="655">
          <cell r="B655" t="str">
            <v>01-10-1180-000-100-70070</v>
          </cell>
          <cell r="C655" t="str">
            <v>Recruitment - Practice Mgmt</v>
          </cell>
          <cell r="D655">
            <v>0</v>
          </cell>
          <cell r="E655">
            <v>820.34</v>
          </cell>
          <cell r="F655">
            <v>0</v>
          </cell>
          <cell r="G655">
            <v>820.34</v>
          </cell>
          <cell r="H655">
            <v>820.34</v>
          </cell>
        </row>
        <row r="656">
          <cell r="B656" t="str">
            <v>01-10-1180-000-100-70075</v>
          </cell>
          <cell r="C656" t="str">
            <v>Staff Dev - Practice Mgmt</v>
          </cell>
          <cell r="D656">
            <v>0</v>
          </cell>
          <cell r="E656">
            <v>3650</v>
          </cell>
          <cell r="F656">
            <v>0</v>
          </cell>
          <cell r="G656">
            <v>3650</v>
          </cell>
          <cell r="H656">
            <v>3650</v>
          </cell>
        </row>
        <row r="657">
          <cell r="B657" t="str">
            <v>01-10-1180-000-100-70090</v>
          </cell>
          <cell r="C657" t="str">
            <v>Travel - Practice Mgmt</v>
          </cell>
          <cell r="D657">
            <v>0</v>
          </cell>
          <cell r="E657">
            <v>3567.14</v>
          </cell>
          <cell r="F657">
            <v>233.36</v>
          </cell>
          <cell r="G657">
            <v>3333.78</v>
          </cell>
          <cell r="H657">
            <v>3333.78</v>
          </cell>
        </row>
        <row r="658">
          <cell r="B658" t="str">
            <v>01-10-1180-000-100-70095</v>
          </cell>
          <cell r="C658" t="str">
            <v>Mileage - Practice Mgmt</v>
          </cell>
          <cell r="D658">
            <v>0</v>
          </cell>
          <cell r="E658">
            <v>3928.61</v>
          </cell>
          <cell r="F658">
            <v>539.25</v>
          </cell>
          <cell r="G658">
            <v>3389.36</v>
          </cell>
          <cell r="H658">
            <v>3389.36</v>
          </cell>
        </row>
        <row r="659">
          <cell r="B659" t="str">
            <v>01-10-1180-000-100-70100</v>
          </cell>
          <cell r="C659" t="str">
            <v>Office Supplies - Practice Mgmt</v>
          </cell>
          <cell r="D659">
            <v>0</v>
          </cell>
          <cell r="E659">
            <v>6221.71</v>
          </cell>
          <cell r="F659">
            <v>567.15</v>
          </cell>
          <cell r="G659">
            <v>5654.56</v>
          </cell>
          <cell r="H659">
            <v>5654.56</v>
          </cell>
        </row>
        <row r="660">
          <cell r="B660" t="str">
            <v>01-10-1180-000-100-70500</v>
          </cell>
          <cell r="C660" t="str">
            <v>Consultants - Practice Mgmt</v>
          </cell>
          <cell r="D660">
            <v>0</v>
          </cell>
          <cell r="E660">
            <v>8455.85</v>
          </cell>
          <cell r="F660">
            <v>0</v>
          </cell>
          <cell r="G660">
            <v>8455.85</v>
          </cell>
          <cell r="H660">
            <v>8455.85</v>
          </cell>
        </row>
        <row r="661">
          <cell r="B661" t="str">
            <v>01-10-1180-000-100-70550</v>
          </cell>
          <cell r="C661" t="str">
            <v>Furn Fix &amp; Remodel - Practice Mgmt</v>
          </cell>
          <cell r="D661">
            <v>0</v>
          </cell>
          <cell r="E661">
            <v>224.08</v>
          </cell>
          <cell r="F661">
            <v>0</v>
          </cell>
          <cell r="G661">
            <v>224.08</v>
          </cell>
          <cell r="H661">
            <v>224.08</v>
          </cell>
        </row>
        <row r="662">
          <cell r="B662" t="str">
            <v>01-10-1180-000-100-71020</v>
          </cell>
          <cell r="C662" t="str">
            <v>Storage - Practice Mgmt</v>
          </cell>
          <cell r="D662">
            <v>0</v>
          </cell>
          <cell r="E662">
            <v>288.18</v>
          </cell>
          <cell r="F662">
            <v>167.13</v>
          </cell>
          <cell r="G662">
            <v>121.05</v>
          </cell>
          <cell r="H662">
            <v>121.05</v>
          </cell>
        </row>
        <row r="663">
          <cell r="B663" t="str">
            <v>01-10-1180-000-100-72035</v>
          </cell>
          <cell r="C663" t="str">
            <v>Phone - Practice Mgmt</v>
          </cell>
          <cell r="D663">
            <v>0</v>
          </cell>
          <cell r="E663">
            <v>8715.49</v>
          </cell>
          <cell r="F663">
            <v>0</v>
          </cell>
          <cell r="G663">
            <v>8715.49</v>
          </cell>
          <cell r="H663">
            <v>8715.49</v>
          </cell>
        </row>
        <row r="664">
          <cell r="B664" t="str">
            <v>01-10-1180-000-100-72040</v>
          </cell>
          <cell r="C664" t="str">
            <v>Water - Practice Mgmt</v>
          </cell>
          <cell r="D664">
            <v>0</v>
          </cell>
          <cell r="E664">
            <v>186.71</v>
          </cell>
          <cell r="F664">
            <v>0</v>
          </cell>
          <cell r="G664">
            <v>186.71</v>
          </cell>
          <cell r="H664">
            <v>186.71</v>
          </cell>
        </row>
        <row r="665">
          <cell r="B665" t="str">
            <v>01-10-1180-000-100-75013</v>
          </cell>
          <cell r="C665" t="str">
            <v>Billed From UH-Svcs-Practice Mgmt</v>
          </cell>
          <cell r="D665">
            <v>0</v>
          </cell>
          <cell r="E665">
            <v>31893.040000000001</v>
          </cell>
          <cell r="F665">
            <v>26355.34</v>
          </cell>
          <cell r="G665">
            <v>5537.7</v>
          </cell>
          <cell r="H665">
            <v>5537.7</v>
          </cell>
        </row>
        <row r="666">
          <cell r="B666" t="str">
            <v>01-10-1180-000-100-98005</v>
          </cell>
          <cell r="C666" t="str">
            <v>FTEs-Dir Mgr-UNMMG-PractMgmt</v>
          </cell>
          <cell r="D666">
            <v>0</v>
          </cell>
          <cell r="E666">
            <v>14</v>
          </cell>
          <cell r="F666">
            <v>14</v>
          </cell>
          <cell r="G666">
            <v>0</v>
          </cell>
          <cell r="H666">
            <v>0</v>
          </cell>
        </row>
        <row r="667">
          <cell r="B667" t="str">
            <v>01-10-1180-000-100-98018</v>
          </cell>
          <cell r="C667" t="str">
            <v>FTEs-Clerical-UNMMG-Pract Mgmt</v>
          </cell>
          <cell r="D667">
            <v>0</v>
          </cell>
          <cell r="E667">
            <v>32</v>
          </cell>
          <cell r="F667">
            <v>32</v>
          </cell>
          <cell r="G667">
            <v>0</v>
          </cell>
          <cell r="H667">
            <v>0</v>
          </cell>
        </row>
        <row r="668">
          <cell r="B668" t="str">
            <v>01-10-1180-000-100-98025</v>
          </cell>
          <cell r="C668" t="str">
            <v>FTEs - Patient Svcs Coord-UNMMG-Pract Mgmt</v>
          </cell>
          <cell r="D668">
            <v>0</v>
          </cell>
          <cell r="E668">
            <v>25</v>
          </cell>
          <cell r="F668">
            <v>25</v>
          </cell>
          <cell r="G668">
            <v>0</v>
          </cell>
          <cell r="H668">
            <v>0</v>
          </cell>
        </row>
        <row r="669">
          <cell r="B669" t="str">
            <v>01-10-1180-000-100-98110</v>
          </cell>
          <cell r="C669" t="str">
            <v>FTE RN-UNMMG-Pract Mgmt</v>
          </cell>
          <cell r="D669">
            <v>0</v>
          </cell>
          <cell r="E669">
            <v>5</v>
          </cell>
          <cell r="F669">
            <v>5</v>
          </cell>
          <cell r="G669">
            <v>0</v>
          </cell>
          <cell r="H669">
            <v>0</v>
          </cell>
        </row>
        <row r="670">
          <cell r="B670" t="str">
            <v>01-10-1180-000-100-98125</v>
          </cell>
          <cell r="C670" t="str">
            <v>FTEs-MA-UNMMG-Pract Mgmt</v>
          </cell>
          <cell r="D670">
            <v>0</v>
          </cell>
          <cell r="E670">
            <v>15</v>
          </cell>
          <cell r="F670">
            <v>15</v>
          </cell>
          <cell r="G670">
            <v>0</v>
          </cell>
          <cell r="H670">
            <v>0</v>
          </cell>
        </row>
        <row r="671">
          <cell r="B671" t="str">
            <v>01-10-1180-000-100-98190</v>
          </cell>
          <cell r="C671" t="str">
            <v>FTEs-Dental Asst-UNMMG-Pract Mgmt</v>
          </cell>
          <cell r="D671">
            <v>0</v>
          </cell>
          <cell r="E671">
            <v>2</v>
          </cell>
          <cell r="F671">
            <v>2</v>
          </cell>
          <cell r="G671">
            <v>0</v>
          </cell>
          <cell r="H671">
            <v>0</v>
          </cell>
        </row>
        <row r="672">
          <cell r="B672" t="str">
            <v>01-10-1200-000-000-35010</v>
          </cell>
          <cell r="C672" t="str">
            <v>Prior Yr Fund Balance- IT</v>
          </cell>
          <cell r="D672">
            <v>0</v>
          </cell>
          <cell r="E672">
            <v>1524117.4</v>
          </cell>
          <cell r="F672">
            <v>0</v>
          </cell>
          <cell r="G672">
            <v>1524117.4</v>
          </cell>
          <cell r="H672">
            <v>1524117.4</v>
          </cell>
        </row>
        <row r="673">
          <cell r="B673" t="str">
            <v>01-10-1200-000-100-60013</v>
          </cell>
          <cell r="C673" t="str">
            <v>Salaries-Prof - IT</v>
          </cell>
          <cell r="D673">
            <v>0</v>
          </cell>
          <cell r="E673">
            <v>554917.5</v>
          </cell>
          <cell r="F673">
            <v>0</v>
          </cell>
          <cell r="G673">
            <v>554917.5</v>
          </cell>
          <cell r="H673">
            <v>554917.5</v>
          </cell>
        </row>
        <row r="674">
          <cell r="B674" t="str">
            <v>01-10-1200-000-100-60015</v>
          </cell>
          <cell r="C674" t="str">
            <v>Salaries-Technical - IT</v>
          </cell>
          <cell r="D674">
            <v>0</v>
          </cell>
          <cell r="E674">
            <v>340714.15</v>
          </cell>
          <cell r="F674">
            <v>112309.77</v>
          </cell>
          <cell r="G674">
            <v>228404.38</v>
          </cell>
          <cell r="H674">
            <v>228404.38</v>
          </cell>
        </row>
        <row r="675">
          <cell r="B675" t="str">
            <v>01-10-1200-000-100-60018</v>
          </cell>
          <cell r="C675" t="str">
            <v>Salaries-Clerical - IT</v>
          </cell>
          <cell r="D675">
            <v>0</v>
          </cell>
          <cell r="E675">
            <v>9679.5400000000009</v>
          </cell>
          <cell r="F675">
            <v>8787.33</v>
          </cell>
          <cell r="G675">
            <v>892.21</v>
          </cell>
          <cell r="H675">
            <v>892.21</v>
          </cell>
        </row>
        <row r="676">
          <cell r="B676" t="str">
            <v>01-10-1200-000-100-60050</v>
          </cell>
          <cell r="C676" t="str">
            <v>Salaries-Student - IT</v>
          </cell>
          <cell r="D676">
            <v>0</v>
          </cell>
          <cell r="E676">
            <v>3390.91</v>
          </cell>
          <cell r="F676">
            <v>0</v>
          </cell>
          <cell r="G676">
            <v>3390.91</v>
          </cell>
          <cell r="H676">
            <v>3390.91</v>
          </cell>
        </row>
        <row r="677">
          <cell r="B677" t="str">
            <v>01-10-1200-000-100-60070</v>
          </cell>
          <cell r="C677" t="str">
            <v>Contract Labor - IT</v>
          </cell>
          <cell r="D677">
            <v>0</v>
          </cell>
          <cell r="E677">
            <v>89914.36</v>
          </cell>
          <cell r="F677">
            <v>6302.84</v>
          </cell>
          <cell r="G677">
            <v>83611.520000000004</v>
          </cell>
          <cell r="H677">
            <v>83611.520000000004</v>
          </cell>
        </row>
        <row r="678">
          <cell r="B678" t="str">
            <v>01-10-1200-000-100-63310</v>
          </cell>
          <cell r="C678" t="str">
            <v>Severence Expense - IT</v>
          </cell>
          <cell r="D678">
            <v>0</v>
          </cell>
          <cell r="E678">
            <v>1440</v>
          </cell>
          <cell r="F678">
            <v>0</v>
          </cell>
          <cell r="G678">
            <v>1440</v>
          </cell>
          <cell r="H678">
            <v>1440</v>
          </cell>
        </row>
        <row r="679">
          <cell r="B679" t="str">
            <v>01-10-1200-000-100-63500</v>
          </cell>
          <cell r="C679" t="str">
            <v>Overtime-UNMMG- IT</v>
          </cell>
          <cell r="D679">
            <v>0</v>
          </cell>
          <cell r="E679">
            <v>650.37</v>
          </cell>
          <cell r="F679">
            <v>16.16</v>
          </cell>
          <cell r="G679">
            <v>634.21</v>
          </cell>
          <cell r="H679">
            <v>634.21</v>
          </cell>
        </row>
        <row r="680">
          <cell r="B680" t="str">
            <v>01-10-1200-000-100-64000</v>
          </cell>
          <cell r="C680" t="str">
            <v>Bill UH-Salaries - IT</v>
          </cell>
          <cell r="D680">
            <v>0</v>
          </cell>
          <cell r="E680">
            <v>265386.28000000003</v>
          </cell>
          <cell r="F680">
            <v>265386.28000000003</v>
          </cell>
          <cell r="G680">
            <v>0</v>
          </cell>
          <cell r="H680">
            <v>0</v>
          </cell>
        </row>
        <row r="681">
          <cell r="B681" t="str">
            <v>01-10-1200-000-100-64002</v>
          </cell>
          <cell r="C681" t="str">
            <v>Billed From UH -Salaries- IT</v>
          </cell>
          <cell r="D681">
            <v>0</v>
          </cell>
          <cell r="E681">
            <v>136492.66</v>
          </cell>
          <cell r="F681">
            <v>0</v>
          </cell>
          <cell r="G681">
            <v>136492.66</v>
          </cell>
          <cell r="H681">
            <v>136492.66</v>
          </cell>
        </row>
        <row r="682">
          <cell r="B682" t="str">
            <v>01-10-1200-000-100-64050</v>
          </cell>
          <cell r="C682" t="str">
            <v>Emp Benefits-UNM - IT</v>
          </cell>
          <cell r="D682">
            <v>0</v>
          </cell>
          <cell r="E682">
            <v>145975.89000000001</v>
          </cell>
          <cell r="F682">
            <v>56312.89</v>
          </cell>
          <cell r="G682">
            <v>89663</v>
          </cell>
          <cell r="H682">
            <v>89663</v>
          </cell>
        </row>
        <row r="683">
          <cell r="B683" t="str">
            <v>01-10-1200-000-100-64055</v>
          </cell>
          <cell r="C683" t="str">
            <v>Employee Benefits UNMMG - IT</v>
          </cell>
          <cell r="D683">
            <v>0</v>
          </cell>
          <cell r="E683">
            <v>78169.62</v>
          </cell>
          <cell r="F683">
            <v>68606.64</v>
          </cell>
          <cell r="G683">
            <v>9562.98</v>
          </cell>
          <cell r="H683">
            <v>9562.98</v>
          </cell>
        </row>
        <row r="684">
          <cell r="B684" t="str">
            <v>01-10-1200-000-100-65005</v>
          </cell>
          <cell r="C684" t="str">
            <v>Emp Benefits-STD - MIS</v>
          </cell>
          <cell r="D684">
            <v>0</v>
          </cell>
          <cell r="E684">
            <v>2092.37</v>
          </cell>
          <cell r="F684">
            <v>0</v>
          </cell>
          <cell r="G684">
            <v>2092.37</v>
          </cell>
          <cell r="H684">
            <v>2092.37</v>
          </cell>
        </row>
        <row r="685">
          <cell r="B685" t="str">
            <v>01-10-1200-000-100-65008</v>
          </cell>
          <cell r="C685" t="str">
            <v>Emp Benefits-Tuition - IT</v>
          </cell>
          <cell r="D685">
            <v>0</v>
          </cell>
          <cell r="E685">
            <v>15850.7</v>
          </cell>
          <cell r="F685">
            <v>451.75</v>
          </cell>
          <cell r="G685">
            <v>15398.95</v>
          </cell>
          <cell r="H685">
            <v>15398.95</v>
          </cell>
        </row>
        <row r="686">
          <cell r="B686" t="str">
            <v>01-10-1200-000-100-65010</v>
          </cell>
          <cell r="C686" t="str">
            <v>Emp Benefits- Misc EE Benefits- IT</v>
          </cell>
          <cell r="D686">
            <v>0</v>
          </cell>
          <cell r="E686">
            <v>324</v>
          </cell>
          <cell r="F686">
            <v>0</v>
          </cell>
          <cell r="G686">
            <v>324</v>
          </cell>
          <cell r="H686">
            <v>324</v>
          </cell>
        </row>
        <row r="687">
          <cell r="B687" t="str">
            <v>01-10-1200-000-100-67025</v>
          </cell>
          <cell r="C687" t="str">
            <v>ER 403(b) - IT</v>
          </cell>
          <cell r="D687">
            <v>0</v>
          </cell>
          <cell r="E687">
            <v>29061.58</v>
          </cell>
          <cell r="F687">
            <v>0</v>
          </cell>
          <cell r="G687">
            <v>29061.58</v>
          </cell>
          <cell r="H687">
            <v>29061.58</v>
          </cell>
        </row>
        <row r="688">
          <cell r="B688" t="str">
            <v>01-10-1200-000-100-67030</v>
          </cell>
          <cell r="C688" t="str">
            <v>ER Hlth Dental &amp; Vision - IT</v>
          </cell>
          <cell r="D688">
            <v>0</v>
          </cell>
          <cell r="E688">
            <v>53794.58</v>
          </cell>
          <cell r="F688">
            <v>0</v>
          </cell>
          <cell r="G688">
            <v>53794.58</v>
          </cell>
          <cell r="H688">
            <v>53794.58</v>
          </cell>
        </row>
        <row r="689">
          <cell r="B689" t="str">
            <v>01-10-1200-000-100-67050</v>
          </cell>
          <cell r="C689" t="str">
            <v>ER Life Ins - IT</v>
          </cell>
          <cell r="D689">
            <v>0</v>
          </cell>
          <cell r="E689">
            <v>472.74</v>
          </cell>
          <cell r="F689">
            <v>0</v>
          </cell>
          <cell r="G689">
            <v>472.74</v>
          </cell>
          <cell r="H689">
            <v>472.74</v>
          </cell>
        </row>
        <row r="690">
          <cell r="B690" t="str">
            <v>01-10-1200-000-100-67100</v>
          </cell>
          <cell r="C690" t="str">
            <v>ER Fica_Mcare - IT</v>
          </cell>
          <cell r="D690">
            <v>0</v>
          </cell>
          <cell r="E690">
            <v>35912.379999999997</v>
          </cell>
          <cell r="F690">
            <v>0</v>
          </cell>
          <cell r="G690">
            <v>35912.379999999997</v>
          </cell>
          <cell r="H690">
            <v>35912.379999999997</v>
          </cell>
        </row>
        <row r="691">
          <cell r="B691" t="str">
            <v>01-10-1200-000-100-67105</v>
          </cell>
          <cell r="C691" t="str">
            <v>ER FUI - IT</v>
          </cell>
          <cell r="D691">
            <v>0</v>
          </cell>
          <cell r="E691">
            <v>738.9</v>
          </cell>
          <cell r="F691">
            <v>0</v>
          </cell>
          <cell r="G691">
            <v>738.9</v>
          </cell>
          <cell r="H691">
            <v>738.9</v>
          </cell>
        </row>
        <row r="692">
          <cell r="B692" t="str">
            <v>01-10-1200-000-100-67110</v>
          </cell>
          <cell r="C692" t="str">
            <v>ER SUI - IT</v>
          </cell>
          <cell r="D692">
            <v>0</v>
          </cell>
          <cell r="E692">
            <v>5255.98</v>
          </cell>
          <cell r="F692">
            <v>0</v>
          </cell>
          <cell r="G692">
            <v>5255.98</v>
          </cell>
          <cell r="H692">
            <v>5255.98</v>
          </cell>
        </row>
        <row r="693">
          <cell r="B693" t="str">
            <v>01-10-1200-000-100-67120</v>
          </cell>
          <cell r="C693" t="str">
            <v>Worker's Comp Fee - IT</v>
          </cell>
          <cell r="D693">
            <v>0</v>
          </cell>
          <cell r="E693">
            <v>55.29</v>
          </cell>
          <cell r="F693">
            <v>0</v>
          </cell>
          <cell r="G693">
            <v>55.29</v>
          </cell>
          <cell r="H693">
            <v>55.29</v>
          </cell>
        </row>
        <row r="694">
          <cell r="B694" t="str">
            <v>01-10-1200-000-100-70025</v>
          </cell>
          <cell r="C694" t="str">
            <v>Books &amp; Publications - IT</v>
          </cell>
          <cell r="D694">
            <v>0</v>
          </cell>
          <cell r="E694">
            <v>73.19</v>
          </cell>
          <cell r="F694">
            <v>0</v>
          </cell>
          <cell r="G694">
            <v>73.19</v>
          </cell>
          <cell r="H694">
            <v>73.19</v>
          </cell>
        </row>
        <row r="695">
          <cell r="B695" t="str">
            <v>01-10-1200-000-100-70028</v>
          </cell>
          <cell r="C695" t="str">
            <v>Copier - IT</v>
          </cell>
          <cell r="D695">
            <v>0</v>
          </cell>
          <cell r="E695">
            <v>13303.3</v>
          </cell>
          <cell r="F695">
            <v>466.37</v>
          </cell>
          <cell r="G695">
            <v>12836.93</v>
          </cell>
          <cell r="H695">
            <v>12836.93</v>
          </cell>
        </row>
        <row r="696">
          <cell r="B696" t="str">
            <v>01-10-1200-000-100-70030</v>
          </cell>
          <cell r="C696" t="str">
            <v>Dues &amp; Memberships - IT</v>
          </cell>
          <cell r="D696">
            <v>0</v>
          </cell>
          <cell r="E696">
            <v>639</v>
          </cell>
          <cell r="F696">
            <v>0</v>
          </cell>
          <cell r="G696">
            <v>639</v>
          </cell>
          <cell r="H696">
            <v>639</v>
          </cell>
        </row>
        <row r="697">
          <cell r="B697" t="str">
            <v>01-10-1200-000-100-70040</v>
          </cell>
          <cell r="C697" t="str">
            <v>Materials &amp; Services - IT</v>
          </cell>
          <cell r="D697">
            <v>0</v>
          </cell>
          <cell r="E697">
            <v>9281.2199999999993</v>
          </cell>
          <cell r="F697">
            <v>9200</v>
          </cell>
          <cell r="G697">
            <v>81.22</v>
          </cell>
          <cell r="H697">
            <v>81.22</v>
          </cell>
        </row>
        <row r="698">
          <cell r="B698" t="str">
            <v>01-10-1200-000-100-70045</v>
          </cell>
          <cell r="C698" t="str">
            <v>Meetings &amp; Conferences - IT</v>
          </cell>
          <cell r="D698">
            <v>0</v>
          </cell>
          <cell r="E698">
            <v>745</v>
          </cell>
          <cell r="F698">
            <v>0</v>
          </cell>
          <cell r="G698">
            <v>745</v>
          </cell>
          <cell r="H698">
            <v>745</v>
          </cell>
        </row>
        <row r="699">
          <cell r="B699" t="str">
            <v>01-10-1200-000-100-70055</v>
          </cell>
          <cell r="C699" t="str">
            <v>Postage &amp; Shipping - IT</v>
          </cell>
          <cell r="D699">
            <v>0</v>
          </cell>
          <cell r="E699">
            <v>2227.83</v>
          </cell>
          <cell r="F699">
            <v>269.87</v>
          </cell>
          <cell r="G699">
            <v>1957.96</v>
          </cell>
          <cell r="H699">
            <v>1957.96</v>
          </cell>
        </row>
        <row r="700">
          <cell r="B700" t="str">
            <v>01-10-1200-000-100-70075</v>
          </cell>
          <cell r="C700" t="str">
            <v>Staff Dev - IT</v>
          </cell>
          <cell r="D700">
            <v>0</v>
          </cell>
          <cell r="E700">
            <v>783</v>
          </cell>
          <cell r="F700">
            <v>0</v>
          </cell>
          <cell r="G700">
            <v>783</v>
          </cell>
          <cell r="H700">
            <v>783</v>
          </cell>
        </row>
        <row r="701">
          <cell r="B701" t="str">
            <v>01-10-1200-000-100-70090</v>
          </cell>
          <cell r="C701" t="str">
            <v>Travel - IT</v>
          </cell>
          <cell r="D701">
            <v>0</v>
          </cell>
          <cell r="E701">
            <v>2506.4699999999998</v>
          </cell>
          <cell r="F701">
            <v>23.83</v>
          </cell>
          <cell r="G701">
            <v>2482.64</v>
          </cell>
          <cell r="H701">
            <v>2482.64</v>
          </cell>
        </row>
        <row r="702">
          <cell r="B702" t="str">
            <v>01-10-1200-000-100-70095</v>
          </cell>
          <cell r="C702" t="str">
            <v>Mileage - IT</v>
          </cell>
          <cell r="D702">
            <v>0</v>
          </cell>
          <cell r="E702">
            <v>142.47999999999999</v>
          </cell>
          <cell r="F702">
            <v>0</v>
          </cell>
          <cell r="G702">
            <v>142.47999999999999</v>
          </cell>
          <cell r="H702">
            <v>142.47999999999999</v>
          </cell>
        </row>
        <row r="703">
          <cell r="B703" t="str">
            <v>01-10-1200-000-100-70100</v>
          </cell>
          <cell r="C703" t="str">
            <v>Office Supplies - IT</v>
          </cell>
          <cell r="D703">
            <v>0</v>
          </cell>
          <cell r="E703">
            <v>4563.22</v>
          </cell>
          <cell r="F703">
            <v>664.19</v>
          </cell>
          <cell r="G703">
            <v>3899.03</v>
          </cell>
          <cell r="H703">
            <v>3899.03</v>
          </cell>
        </row>
        <row r="704">
          <cell r="B704" t="str">
            <v>01-10-1200-000-100-70310</v>
          </cell>
          <cell r="C704" t="str">
            <v>Demo Graphic UH Charges - MIS</v>
          </cell>
          <cell r="D704">
            <v>0</v>
          </cell>
          <cell r="E704">
            <v>13152.77</v>
          </cell>
          <cell r="F704">
            <v>10016.77</v>
          </cell>
          <cell r="G704">
            <v>3136</v>
          </cell>
          <cell r="H704">
            <v>3136</v>
          </cell>
        </row>
        <row r="705">
          <cell r="B705" t="str">
            <v>01-10-1200-000-100-70400</v>
          </cell>
          <cell r="C705" t="str">
            <v>Computer Repair - IT</v>
          </cell>
          <cell r="D705">
            <v>0</v>
          </cell>
          <cell r="E705">
            <v>0</v>
          </cell>
          <cell r="F705">
            <v>446.49</v>
          </cell>
          <cell r="G705">
            <v>-446.49</v>
          </cell>
          <cell r="H705">
            <v>-446.49</v>
          </cell>
        </row>
        <row r="706">
          <cell r="B706" t="str">
            <v>01-10-1200-000-100-70410</v>
          </cell>
          <cell r="C706" t="str">
            <v>Computer  Costs - IT</v>
          </cell>
          <cell r="D706">
            <v>0</v>
          </cell>
          <cell r="E706">
            <v>18650.25</v>
          </cell>
          <cell r="F706">
            <v>3895.78</v>
          </cell>
          <cell r="G706">
            <v>14754.47</v>
          </cell>
          <cell r="H706">
            <v>14754.47</v>
          </cell>
        </row>
        <row r="707">
          <cell r="B707" t="str">
            <v>01-10-1200-000-100-70420</v>
          </cell>
          <cell r="C707" t="str">
            <v>Software Subscript &amp; Mntnce - IT</v>
          </cell>
          <cell r="D707">
            <v>0</v>
          </cell>
          <cell r="E707">
            <v>741010.15</v>
          </cell>
          <cell r="F707">
            <v>17933.95</v>
          </cell>
          <cell r="G707">
            <v>723076.2</v>
          </cell>
          <cell r="H707">
            <v>723076.2</v>
          </cell>
        </row>
        <row r="708">
          <cell r="B708" t="str">
            <v>01-10-1200-000-100-70500</v>
          </cell>
          <cell r="C708" t="str">
            <v>Consultants - IT</v>
          </cell>
          <cell r="D708">
            <v>0</v>
          </cell>
          <cell r="E708">
            <v>3542.36</v>
          </cell>
          <cell r="F708">
            <v>0</v>
          </cell>
          <cell r="G708">
            <v>3542.36</v>
          </cell>
          <cell r="H708">
            <v>3542.36</v>
          </cell>
        </row>
        <row r="709">
          <cell r="B709" t="str">
            <v>01-10-1200-000-100-70550</v>
          </cell>
          <cell r="C709" t="str">
            <v>Furn Fix &amp; Remodel - IT</v>
          </cell>
          <cell r="D709">
            <v>0</v>
          </cell>
          <cell r="E709">
            <v>199</v>
          </cell>
          <cell r="F709">
            <v>0</v>
          </cell>
          <cell r="G709">
            <v>199</v>
          </cell>
          <cell r="H709">
            <v>199</v>
          </cell>
        </row>
        <row r="710">
          <cell r="B710" t="str">
            <v>01-10-1200-000-100-71020</v>
          </cell>
          <cell r="C710" t="str">
            <v>Storage - IT</v>
          </cell>
          <cell r="D710">
            <v>0</v>
          </cell>
          <cell r="E710">
            <v>594.75</v>
          </cell>
          <cell r="F710">
            <v>259.05</v>
          </cell>
          <cell r="G710">
            <v>335.7</v>
          </cell>
          <cell r="H710">
            <v>335.7</v>
          </cell>
        </row>
        <row r="711">
          <cell r="B711" t="str">
            <v>01-10-1200-000-100-72030</v>
          </cell>
          <cell r="C711" t="str">
            <v>Recycling - IT</v>
          </cell>
          <cell r="D711">
            <v>0</v>
          </cell>
          <cell r="E711">
            <v>1097</v>
          </cell>
          <cell r="F711">
            <v>0</v>
          </cell>
          <cell r="G711">
            <v>1097</v>
          </cell>
          <cell r="H711">
            <v>1097</v>
          </cell>
        </row>
        <row r="712">
          <cell r="B712" t="str">
            <v>01-10-1200-000-100-72035</v>
          </cell>
          <cell r="C712" t="str">
            <v>Phone - IT</v>
          </cell>
          <cell r="D712">
            <v>0</v>
          </cell>
          <cell r="E712">
            <v>6132.61</v>
          </cell>
          <cell r="F712">
            <v>0</v>
          </cell>
          <cell r="G712">
            <v>6132.61</v>
          </cell>
          <cell r="H712">
            <v>6132.61</v>
          </cell>
        </row>
        <row r="713">
          <cell r="B713" t="str">
            <v>01-10-1200-000-100-72040</v>
          </cell>
          <cell r="C713" t="str">
            <v>Water - IT</v>
          </cell>
          <cell r="D713">
            <v>0</v>
          </cell>
          <cell r="E713">
            <v>407.67</v>
          </cell>
          <cell r="F713">
            <v>0</v>
          </cell>
          <cell r="G713">
            <v>407.67</v>
          </cell>
          <cell r="H713">
            <v>407.67</v>
          </cell>
        </row>
        <row r="714">
          <cell r="B714" t="str">
            <v>01-10-1200-000-100-75015</v>
          </cell>
          <cell r="C714" t="str">
            <v>Billed to UH IDX Support - IT</v>
          </cell>
          <cell r="D714">
            <v>0</v>
          </cell>
          <cell r="E714">
            <v>0</v>
          </cell>
          <cell r="F714">
            <v>239095.2</v>
          </cell>
          <cell r="G714">
            <v>-239095.2</v>
          </cell>
          <cell r="H714">
            <v>-239095.2</v>
          </cell>
        </row>
        <row r="715">
          <cell r="B715" t="str">
            <v>01-10-1200-000-100-75016</v>
          </cell>
          <cell r="C715" t="str">
            <v>Billed from UH-Computers- IT</v>
          </cell>
          <cell r="D715">
            <v>0</v>
          </cell>
          <cell r="E715">
            <v>89809</v>
          </cell>
          <cell r="F715">
            <v>11875</v>
          </cell>
          <cell r="G715">
            <v>77934</v>
          </cell>
          <cell r="H715">
            <v>77934</v>
          </cell>
        </row>
        <row r="716">
          <cell r="B716" t="str">
            <v>01-10-1200-000-100-98006</v>
          </cell>
          <cell r="C716" t="str">
            <v>FTEs-Dir/Mgr-UNM-MIS</v>
          </cell>
          <cell r="D716">
            <v>0</v>
          </cell>
          <cell r="E716">
            <v>28</v>
          </cell>
          <cell r="F716">
            <v>28</v>
          </cell>
          <cell r="G716">
            <v>0</v>
          </cell>
          <cell r="H716">
            <v>0</v>
          </cell>
        </row>
        <row r="717">
          <cell r="B717" t="str">
            <v>01-10-1200-000-100-98013</v>
          </cell>
          <cell r="C717" t="str">
            <v>FTEs-Prof-UNMMG-MIS</v>
          </cell>
          <cell r="D717">
            <v>0</v>
          </cell>
          <cell r="E717">
            <v>74.400000000000006</v>
          </cell>
          <cell r="F717">
            <v>74.400000000000006</v>
          </cell>
          <cell r="G717">
            <v>0</v>
          </cell>
          <cell r="H717">
            <v>0</v>
          </cell>
        </row>
        <row r="718">
          <cell r="B718" t="str">
            <v>01-10-1200-000-100-98014</v>
          </cell>
          <cell r="C718" t="str">
            <v>FTEs-Prof-UNM-MIS</v>
          </cell>
          <cell r="D718">
            <v>0</v>
          </cell>
          <cell r="E718">
            <v>28</v>
          </cell>
          <cell r="F718">
            <v>28</v>
          </cell>
          <cell r="G718">
            <v>0</v>
          </cell>
          <cell r="H718">
            <v>0</v>
          </cell>
        </row>
        <row r="719">
          <cell r="B719" t="str">
            <v>01-10-1200-000-100-98015</v>
          </cell>
          <cell r="C719" t="str">
            <v>FTEs-Technical-UNMMG-MIS</v>
          </cell>
          <cell r="D719">
            <v>0</v>
          </cell>
          <cell r="E719">
            <v>72</v>
          </cell>
          <cell r="F719">
            <v>72</v>
          </cell>
          <cell r="G719">
            <v>0</v>
          </cell>
          <cell r="H719">
            <v>0</v>
          </cell>
        </row>
        <row r="720">
          <cell r="B720" t="str">
            <v>01-10-1200-000-100-98016</v>
          </cell>
          <cell r="C720" t="str">
            <v>FTEs-Technical-UNM-MIS</v>
          </cell>
          <cell r="D720">
            <v>0</v>
          </cell>
          <cell r="E720">
            <v>9</v>
          </cell>
          <cell r="F720">
            <v>9</v>
          </cell>
          <cell r="G720">
            <v>0</v>
          </cell>
          <cell r="H720">
            <v>0</v>
          </cell>
        </row>
        <row r="721">
          <cell r="B721" t="str">
            <v>01-10-1200-000-100-98051</v>
          </cell>
          <cell r="C721" t="str">
            <v>FTEs-Student-UNM-MIS</v>
          </cell>
          <cell r="D721">
            <v>0</v>
          </cell>
          <cell r="E721">
            <v>5</v>
          </cell>
          <cell r="F721">
            <v>5</v>
          </cell>
          <cell r="G721">
            <v>0</v>
          </cell>
          <cell r="H721">
            <v>0</v>
          </cell>
        </row>
        <row r="722">
          <cell r="B722" t="str">
            <v>01-10-1220-000-000-35010</v>
          </cell>
          <cell r="C722" t="str">
            <v>Prior Yr Fund Balance-Compliance</v>
          </cell>
          <cell r="D722">
            <v>0</v>
          </cell>
          <cell r="E722">
            <v>331080.27</v>
          </cell>
          <cell r="F722">
            <v>0</v>
          </cell>
          <cell r="G722">
            <v>331080.27</v>
          </cell>
          <cell r="H722">
            <v>331080.27</v>
          </cell>
        </row>
        <row r="723">
          <cell r="B723" t="str">
            <v>01-10-1220-000-100-60013</v>
          </cell>
          <cell r="C723" t="str">
            <v>Salaries-Prof - Compliance</v>
          </cell>
          <cell r="D723">
            <v>0</v>
          </cell>
          <cell r="E723">
            <v>45850.02</v>
          </cell>
          <cell r="F723">
            <v>3250</v>
          </cell>
          <cell r="G723">
            <v>42600.02</v>
          </cell>
          <cell r="H723">
            <v>42600.02</v>
          </cell>
        </row>
        <row r="724">
          <cell r="B724" t="str">
            <v>01-10-1220-000-100-60015</v>
          </cell>
          <cell r="C724" t="str">
            <v>Salaries-Technical - Compliance</v>
          </cell>
          <cell r="D724">
            <v>0</v>
          </cell>
          <cell r="E724">
            <v>383182.58</v>
          </cell>
          <cell r="F724">
            <v>148779.71</v>
          </cell>
          <cell r="G724">
            <v>234402.87</v>
          </cell>
          <cell r="H724">
            <v>234402.87</v>
          </cell>
        </row>
        <row r="725">
          <cell r="B725" t="str">
            <v>01-10-1220-000-100-60018</v>
          </cell>
          <cell r="C725" t="str">
            <v>Salaries-Clerical - Compliance</v>
          </cell>
          <cell r="D725">
            <v>0</v>
          </cell>
          <cell r="E725">
            <v>58739.21</v>
          </cell>
          <cell r="F725">
            <v>22811.58</v>
          </cell>
          <cell r="G725">
            <v>35927.629999999997</v>
          </cell>
          <cell r="H725">
            <v>35927.629999999997</v>
          </cell>
        </row>
        <row r="726">
          <cell r="B726" t="str">
            <v>01-10-1220-000-100-63500</v>
          </cell>
          <cell r="C726" t="str">
            <v>Overtime-UNMMG-Compliance</v>
          </cell>
          <cell r="D726">
            <v>0</v>
          </cell>
          <cell r="E726">
            <v>84.56</v>
          </cell>
          <cell r="F726">
            <v>3.35</v>
          </cell>
          <cell r="G726">
            <v>81.209999999999994</v>
          </cell>
          <cell r="H726">
            <v>81.209999999999994</v>
          </cell>
        </row>
        <row r="727">
          <cell r="B727" t="str">
            <v>01-10-1220-000-100-64050</v>
          </cell>
          <cell r="C727" t="str">
            <v>Emp Benefits-UNM - Compliance</v>
          </cell>
          <cell r="D727">
            <v>0</v>
          </cell>
          <cell r="E727">
            <v>64032.61</v>
          </cell>
          <cell r="F727">
            <v>25844.07</v>
          </cell>
          <cell r="G727">
            <v>38188.54</v>
          </cell>
          <cell r="H727">
            <v>38188.54</v>
          </cell>
        </row>
        <row r="728">
          <cell r="B728" t="str">
            <v>01-10-1220-000-100-64055</v>
          </cell>
          <cell r="C728" t="str">
            <v>Employee Benefits UNMMG - Compliance</v>
          </cell>
          <cell r="D728">
            <v>0</v>
          </cell>
          <cell r="E728">
            <v>27274.87</v>
          </cell>
          <cell r="F728">
            <v>30771.82</v>
          </cell>
          <cell r="G728">
            <v>-3496.95</v>
          </cell>
          <cell r="H728">
            <v>-3496.95</v>
          </cell>
        </row>
        <row r="729">
          <cell r="B729" t="str">
            <v>01-10-1220-000-100-65005</v>
          </cell>
          <cell r="C729" t="str">
            <v>Emp Benefits-STD - Compliance</v>
          </cell>
          <cell r="D729">
            <v>0</v>
          </cell>
          <cell r="E729">
            <v>822.78</v>
          </cell>
          <cell r="F729">
            <v>0</v>
          </cell>
          <cell r="G729">
            <v>822.78</v>
          </cell>
          <cell r="H729">
            <v>822.78</v>
          </cell>
        </row>
        <row r="730">
          <cell r="B730" t="str">
            <v>01-10-1220-000-100-65008</v>
          </cell>
          <cell r="C730" t="str">
            <v>Emp Benefits-Tuition - Compliance</v>
          </cell>
          <cell r="D730">
            <v>0</v>
          </cell>
          <cell r="E730">
            <v>840</v>
          </cell>
          <cell r="F730">
            <v>0</v>
          </cell>
          <cell r="G730">
            <v>840</v>
          </cell>
          <cell r="H730">
            <v>840</v>
          </cell>
        </row>
        <row r="731">
          <cell r="B731" t="str">
            <v>01-10-1220-000-100-67025</v>
          </cell>
          <cell r="C731" t="str">
            <v>ER 403(b) - Compliance</v>
          </cell>
          <cell r="D731">
            <v>0</v>
          </cell>
          <cell r="E731">
            <v>9982.7099999999991</v>
          </cell>
          <cell r="F731">
            <v>0</v>
          </cell>
          <cell r="G731">
            <v>9982.7099999999991</v>
          </cell>
          <cell r="H731">
            <v>9982.7099999999991</v>
          </cell>
        </row>
        <row r="732">
          <cell r="B732" t="str">
            <v>01-10-1220-000-100-67030</v>
          </cell>
          <cell r="C732" t="str">
            <v>ER Hlth Dental &amp; Vision - Compliance</v>
          </cell>
          <cell r="D732">
            <v>0</v>
          </cell>
          <cell r="E732">
            <v>13589.7</v>
          </cell>
          <cell r="F732">
            <v>0</v>
          </cell>
          <cell r="G732">
            <v>13589.7</v>
          </cell>
          <cell r="H732">
            <v>13589.7</v>
          </cell>
        </row>
        <row r="733">
          <cell r="B733" t="str">
            <v>01-10-1220-000-100-67050</v>
          </cell>
          <cell r="C733" t="str">
            <v>ER Life Ins - Compliance</v>
          </cell>
          <cell r="D733">
            <v>0</v>
          </cell>
          <cell r="E733">
            <v>299.77</v>
          </cell>
          <cell r="F733">
            <v>0</v>
          </cell>
          <cell r="G733">
            <v>299.77</v>
          </cell>
          <cell r="H733">
            <v>299.77</v>
          </cell>
        </row>
        <row r="734">
          <cell r="B734" t="str">
            <v>01-10-1220-000-100-67100</v>
          </cell>
          <cell r="C734" t="str">
            <v>ER Fica_Mcare - Compliance</v>
          </cell>
          <cell r="D734">
            <v>0</v>
          </cell>
          <cell r="E734">
            <v>14138.88</v>
          </cell>
          <cell r="F734">
            <v>0</v>
          </cell>
          <cell r="G734">
            <v>14138.88</v>
          </cell>
          <cell r="H734">
            <v>14138.88</v>
          </cell>
        </row>
        <row r="735">
          <cell r="B735" t="str">
            <v>01-10-1220-000-100-67105</v>
          </cell>
          <cell r="C735" t="str">
            <v>ER FUI - Compliance</v>
          </cell>
          <cell r="D735">
            <v>0</v>
          </cell>
          <cell r="E735">
            <v>224.01</v>
          </cell>
          <cell r="F735">
            <v>0</v>
          </cell>
          <cell r="G735">
            <v>224.01</v>
          </cell>
          <cell r="H735">
            <v>224.01</v>
          </cell>
        </row>
        <row r="736">
          <cell r="B736" t="str">
            <v>01-10-1220-000-100-67110</v>
          </cell>
          <cell r="C736" t="str">
            <v>ER SUI - Compliance</v>
          </cell>
          <cell r="D736">
            <v>0</v>
          </cell>
          <cell r="E736">
            <v>1757.58</v>
          </cell>
          <cell r="F736">
            <v>0</v>
          </cell>
          <cell r="G736">
            <v>1757.58</v>
          </cell>
          <cell r="H736">
            <v>1757.58</v>
          </cell>
        </row>
        <row r="737">
          <cell r="B737" t="str">
            <v>01-10-1220-000-100-70025</v>
          </cell>
          <cell r="C737" t="str">
            <v>Books &amp; Publications - Compliance</v>
          </cell>
          <cell r="D737">
            <v>0</v>
          </cell>
          <cell r="E737">
            <v>5592.42</v>
          </cell>
          <cell r="F737">
            <v>0</v>
          </cell>
          <cell r="G737">
            <v>5592.42</v>
          </cell>
          <cell r="H737">
            <v>5592.42</v>
          </cell>
        </row>
        <row r="738">
          <cell r="B738" t="str">
            <v>01-10-1220-000-100-70028</v>
          </cell>
          <cell r="C738" t="str">
            <v>Copier - Compliance</v>
          </cell>
          <cell r="D738">
            <v>0</v>
          </cell>
          <cell r="E738">
            <v>119.2</v>
          </cell>
          <cell r="F738">
            <v>0</v>
          </cell>
          <cell r="G738">
            <v>119.2</v>
          </cell>
          <cell r="H738">
            <v>119.2</v>
          </cell>
        </row>
        <row r="739">
          <cell r="B739" t="str">
            <v>01-10-1220-000-100-70030</v>
          </cell>
          <cell r="C739" t="str">
            <v>Dues &amp; Memberships - Compliance</v>
          </cell>
          <cell r="D739">
            <v>0</v>
          </cell>
          <cell r="E739">
            <v>2514.9499999999998</v>
          </cell>
          <cell r="F739">
            <v>0</v>
          </cell>
          <cell r="G739">
            <v>2514.9499999999998</v>
          </cell>
          <cell r="H739">
            <v>2514.9499999999998</v>
          </cell>
        </row>
        <row r="740">
          <cell r="B740" t="str">
            <v>01-10-1220-000-100-70040</v>
          </cell>
          <cell r="C740" t="str">
            <v>Materials &amp; Services - Compliance</v>
          </cell>
          <cell r="D740">
            <v>0</v>
          </cell>
          <cell r="E740">
            <v>99.5</v>
          </cell>
          <cell r="F740">
            <v>0</v>
          </cell>
          <cell r="G740">
            <v>99.5</v>
          </cell>
          <cell r="H740">
            <v>99.5</v>
          </cell>
        </row>
        <row r="741">
          <cell r="B741" t="str">
            <v>01-10-1220-000-100-70045</v>
          </cell>
          <cell r="C741" t="str">
            <v>Meetings &amp; Conferences - Compliance</v>
          </cell>
          <cell r="D741">
            <v>0</v>
          </cell>
          <cell r="E741">
            <v>2201.6</v>
          </cell>
          <cell r="F741">
            <v>711</v>
          </cell>
          <cell r="G741">
            <v>1490.6</v>
          </cell>
          <cell r="H741">
            <v>1490.6</v>
          </cell>
        </row>
        <row r="742">
          <cell r="B742" t="str">
            <v>01-10-1220-000-100-70075</v>
          </cell>
          <cell r="C742" t="str">
            <v>Staff Dev - Compliance</v>
          </cell>
          <cell r="D742">
            <v>0</v>
          </cell>
          <cell r="E742">
            <v>3370</v>
          </cell>
          <cell r="F742">
            <v>250</v>
          </cell>
          <cell r="G742">
            <v>3120</v>
          </cell>
          <cell r="H742">
            <v>3120</v>
          </cell>
        </row>
        <row r="743">
          <cell r="B743" t="str">
            <v>01-10-1220-000-100-70090</v>
          </cell>
          <cell r="C743" t="str">
            <v>Travel - Compliance</v>
          </cell>
          <cell r="D743">
            <v>0</v>
          </cell>
          <cell r="E743">
            <v>1875.2</v>
          </cell>
          <cell r="F743">
            <v>0</v>
          </cell>
          <cell r="G743">
            <v>1875.2</v>
          </cell>
          <cell r="H743">
            <v>1875.2</v>
          </cell>
        </row>
        <row r="744">
          <cell r="B744" t="str">
            <v>01-10-1220-000-100-70100</v>
          </cell>
          <cell r="C744" t="str">
            <v>Office Supplies - Compliance</v>
          </cell>
          <cell r="D744">
            <v>0</v>
          </cell>
          <cell r="E744">
            <v>785.59</v>
          </cell>
          <cell r="F744">
            <v>0</v>
          </cell>
          <cell r="G744">
            <v>785.59</v>
          </cell>
          <cell r="H744">
            <v>785.59</v>
          </cell>
        </row>
        <row r="745">
          <cell r="B745" t="str">
            <v>01-10-1220-000-100-70420</v>
          </cell>
          <cell r="C745" t="str">
            <v>Software Subscript &amp; Mntnce - Compliance</v>
          </cell>
          <cell r="D745">
            <v>0</v>
          </cell>
          <cell r="E745">
            <v>2129.92</v>
          </cell>
          <cell r="F745">
            <v>163.84</v>
          </cell>
          <cell r="G745">
            <v>1966.08</v>
          </cell>
          <cell r="H745">
            <v>1966.08</v>
          </cell>
        </row>
        <row r="746">
          <cell r="B746" t="str">
            <v>01-10-1220-000-100-72035</v>
          </cell>
          <cell r="C746" t="str">
            <v>Phone - Compliance</v>
          </cell>
          <cell r="D746">
            <v>0</v>
          </cell>
          <cell r="E746">
            <v>2935.47</v>
          </cell>
          <cell r="F746">
            <v>0</v>
          </cell>
          <cell r="G746">
            <v>2935.47</v>
          </cell>
          <cell r="H746">
            <v>2935.47</v>
          </cell>
        </row>
        <row r="747">
          <cell r="B747" t="str">
            <v>01-10-1220-000-100-98006</v>
          </cell>
          <cell r="C747" t="str">
            <v>FTEs-Dir/Mgr-UNM-Compliance</v>
          </cell>
          <cell r="D747">
            <v>0</v>
          </cell>
          <cell r="E747">
            <v>14</v>
          </cell>
          <cell r="F747">
            <v>14</v>
          </cell>
          <cell r="G747">
            <v>0</v>
          </cell>
          <cell r="H747">
            <v>0</v>
          </cell>
        </row>
        <row r="748">
          <cell r="B748" t="str">
            <v>01-10-1220-000-100-98015</v>
          </cell>
          <cell r="C748" t="str">
            <v>FTEs-Technical-UNMMG-Compliance</v>
          </cell>
          <cell r="D748">
            <v>0</v>
          </cell>
          <cell r="E748">
            <v>42</v>
          </cell>
          <cell r="F748">
            <v>42</v>
          </cell>
          <cell r="G748">
            <v>0</v>
          </cell>
          <cell r="H748">
            <v>0</v>
          </cell>
        </row>
        <row r="749">
          <cell r="B749" t="str">
            <v>01-10-1220-000-100-98016</v>
          </cell>
          <cell r="C749" t="str">
            <v>FTEs-Technical-UNM-Compliance</v>
          </cell>
          <cell r="D749">
            <v>0</v>
          </cell>
          <cell r="E749">
            <v>26</v>
          </cell>
          <cell r="F749">
            <v>26</v>
          </cell>
          <cell r="G749">
            <v>0</v>
          </cell>
          <cell r="H749">
            <v>0</v>
          </cell>
        </row>
        <row r="750">
          <cell r="B750" t="str">
            <v>01-10-1220-000-100-98018</v>
          </cell>
          <cell r="C750" t="str">
            <v>FTEs-Clerical-UNMMG-Compliance</v>
          </cell>
          <cell r="D750">
            <v>0</v>
          </cell>
          <cell r="E750">
            <v>14</v>
          </cell>
          <cell r="F750">
            <v>14</v>
          </cell>
          <cell r="G750">
            <v>0</v>
          </cell>
          <cell r="H750">
            <v>0</v>
          </cell>
        </row>
        <row r="751">
          <cell r="B751" t="str">
            <v>01-10-1300-000-000-35010</v>
          </cell>
          <cell r="C751" t="str">
            <v>Prior Yr Fund Balance-QCPI</v>
          </cell>
          <cell r="D751">
            <v>0</v>
          </cell>
          <cell r="E751">
            <v>1290638.8500000001</v>
          </cell>
          <cell r="F751">
            <v>0</v>
          </cell>
          <cell r="G751">
            <v>1290638.8500000001</v>
          </cell>
          <cell r="H751">
            <v>1290638.8500000001</v>
          </cell>
        </row>
        <row r="752">
          <cell r="B752" t="str">
            <v>01-10-1300-000-100-49506</v>
          </cell>
          <cell r="C752" t="str">
            <v>Central Admin Misc Income-QCPI</v>
          </cell>
          <cell r="D752">
            <v>0</v>
          </cell>
          <cell r="E752">
            <v>0</v>
          </cell>
          <cell r="F752">
            <v>160758.46</v>
          </cell>
          <cell r="G752">
            <v>-160758.46</v>
          </cell>
          <cell r="H752">
            <v>-160758.46</v>
          </cell>
        </row>
        <row r="753">
          <cell r="B753" t="str">
            <v>01-10-1300-000-100-60005</v>
          </cell>
          <cell r="C753" t="str">
            <v>Salaries-Dir Mgr - QCIP</v>
          </cell>
          <cell r="D753">
            <v>0</v>
          </cell>
          <cell r="E753">
            <v>163110.54999999999</v>
          </cell>
          <cell r="F753">
            <v>0</v>
          </cell>
          <cell r="G753">
            <v>163110.54999999999</v>
          </cell>
          <cell r="H753">
            <v>163110.54999999999</v>
          </cell>
        </row>
        <row r="754">
          <cell r="B754" t="str">
            <v>01-10-1300-000-100-60013</v>
          </cell>
          <cell r="C754" t="str">
            <v>Salaries-Prof - QCPI</v>
          </cell>
          <cell r="D754">
            <v>0</v>
          </cell>
          <cell r="E754">
            <v>407606.99</v>
          </cell>
          <cell r="F754">
            <v>0</v>
          </cell>
          <cell r="G754">
            <v>407606.99</v>
          </cell>
          <cell r="H754">
            <v>407606.99</v>
          </cell>
        </row>
        <row r="755">
          <cell r="B755" t="str">
            <v>01-10-1300-000-100-60015</v>
          </cell>
          <cell r="C755" t="str">
            <v>Salaries-Technical - QCPI</v>
          </cell>
          <cell r="D755">
            <v>0</v>
          </cell>
          <cell r="E755">
            <v>133365.99</v>
          </cell>
          <cell r="F755">
            <v>38437.79</v>
          </cell>
          <cell r="G755">
            <v>94928.2</v>
          </cell>
          <cell r="H755">
            <v>94928.2</v>
          </cell>
        </row>
        <row r="756">
          <cell r="B756" t="str">
            <v>01-10-1300-000-100-60018</v>
          </cell>
          <cell r="C756" t="str">
            <v>Salaries-Clerical - QCPI</v>
          </cell>
          <cell r="D756">
            <v>0</v>
          </cell>
          <cell r="E756">
            <v>154837.13</v>
          </cell>
          <cell r="F756">
            <v>53475.92</v>
          </cell>
          <cell r="G756">
            <v>101361.21</v>
          </cell>
          <cell r="H756">
            <v>101361.21</v>
          </cell>
        </row>
        <row r="757">
          <cell r="B757" t="str">
            <v>01-10-1300-000-100-63500</v>
          </cell>
          <cell r="C757" t="str">
            <v>Overtime-UNMMG-QCPI</v>
          </cell>
          <cell r="D757">
            <v>0</v>
          </cell>
          <cell r="E757">
            <v>71.900000000000006</v>
          </cell>
          <cell r="F757">
            <v>7.09</v>
          </cell>
          <cell r="G757">
            <v>64.81</v>
          </cell>
          <cell r="H757">
            <v>64.81</v>
          </cell>
        </row>
        <row r="758">
          <cell r="B758" t="str">
            <v>01-10-1300-000-100-64000</v>
          </cell>
          <cell r="C758" t="str">
            <v>Bill UH-Salaries -QCPI</v>
          </cell>
          <cell r="D758">
            <v>0</v>
          </cell>
          <cell r="E758">
            <v>0.01</v>
          </cell>
          <cell r="F758">
            <v>67952.28</v>
          </cell>
          <cell r="G758">
            <v>-67952.27</v>
          </cell>
          <cell r="H758">
            <v>-67952.27</v>
          </cell>
        </row>
        <row r="759">
          <cell r="B759" t="str">
            <v>01-10-1300-000-100-64050</v>
          </cell>
          <cell r="C759" t="str">
            <v>Emp Benefits-UNM -QCPI</v>
          </cell>
          <cell r="D759">
            <v>0</v>
          </cell>
          <cell r="E759">
            <v>276514.12</v>
          </cell>
          <cell r="F759">
            <v>106189.13</v>
          </cell>
          <cell r="G759">
            <v>170324.99</v>
          </cell>
          <cell r="H759">
            <v>170324.99</v>
          </cell>
        </row>
        <row r="760">
          <cell r="B760" t="str">
            <v>01-10-1300-000-100-64055</v>
          </cell>
          <cell r="C760" t="str">
            <v>Employee Benefits UNMMG -QCPI</v>
          </cell>
          <cell r="D760">
            <v>0</v>
          </cell>
          <cell r="E760">
            <v>58211.53</v>
          </cell>
          <cell r="F760">
            <v>59016.63</v>
          </cell>
          <cell r="G760">
            <v>-805.1</v>
          </cell>
          <cell r="H760">
            <v>-805.1</v>
          </cell>
        </row>
        <row r="761">
          <cell r="B761" t="str">
            <v>01-10-1300-000-100-65005</v>
          </cell>
          <cell r="C761" t="str">
            <v>Emp Benefits-STD -QCPI</v>
          </cell>
          <cell r="D761">
            <v>0</v>
          </cell>
          <cell r="E761">
            <v>1105.3</v>
          </cell>
          <cell r="F761">
            <v>0</v>
          </cell>
          <cell r="G761">
            <v>1105.3</v>
          </cell>
          <cell r="H761">
            <v>1105.3</v>
          </cell>
        </row>
        <row r="762">
          <cell r="B762" t="str">
            <v>01-10-1300-000-100-65008</v>
          </cell>
          <cell r="C762" t="str">
            <v>Emp Benefits-Tuition -QCPI</v>
          </cell>
          <cell r="D762">
            <v>0</v>
          </cell>
          <cell r="E762">
            <v>4432.05</v>
          </cell>
          <cell r="F762">
            <v>1041.8</v>
          </cell>
          <cell r="G762">
            <v>3390.25</v>
          </cell>
          <cell r="H762">
            <v>3390.25</v>
          </cell>
        </row>
        <row r="763">
          <cell r="B763" t="str">
            <v>01-10-1300-000-100-67025</v>
          </cell>
          <cell r="C763" t="str">
            <v>ER 403(b) - QCPI</v>
          </cell>
          <cell r="D763">
            <v>0</v>
          </cell>
          <cell r="E763">
            <v>19598.240000000002</v>
          </cell>
          <cell r="F763">
            <v>0</v>
          </cell>
          <cell r="G763">
            <v>19598.240000000002</v>
          </cell>
          <cell r="H763">
            <v>19598.240000000002</v>
          </cell>
        </row>
        <row r="764">
          <cell r="B764" t="str">
            <v>01-10-1300-000-100-67030</v>
          </cell>
          <cell r="C764" t="str">
            <v>ER Hlth Dental &amp; Vision -QCPI</v>
          </cell>
          <cell r="D764">
            <v>0</v>
          </cell>
          <cell r="E764">
            <v>21278.46</v>
          </cell>
          <cell r="F764">
            <v>0</v>
          </cell>
          <cell r="G764">
            <v>21278.46</v>
          </cell>
          <cell r="H764">
            <v>21278.46</v>
          </cell>
        </row>
        <row r="765">
          <cell r="B765" t="str">
            <v>01-10-1300-000-100-67050</v>
          </cell>
          <cell r="C765" t="str">
            <v>ER Life Ins - QCPI</v>
          </cell>
          <cell r="D765">
            <v>0</v>
          </cell>
          <cell r="E765">
            <v>368.76</v>
          </cell>
          <cell r="F765">
            <v>0</v>
          </cell>
          <cell r="G765">
            <v>368.76</v>
          </cell>
          <cell r="H765">
            <v>368.76</v>
          </cell>
        </row>
        <row r="766">
          <cell r="B766" t="str">
            <v>01-10-1300-000-100-67100</v>
          </cell>
          <cell r="C766" t="str">
            <v>ER Fica_Mcare -QCPI</v>
          </cell>
          <cell r="D766">
            <v>0</v>
          </cell>
          <cell r="E766">
            <v>18897.080000000002</v>
          </cell>
          <cell r="F766">
            <v>0</v>
          </cell>
          <cell r="G766">
            <v>18897.080000000002</v>
          </cell>
          <cell r="H766">
            <v>18897.080000000002</v>
          </cell>
        </row>
        <row r="767">
          <cell r="B767" t="str">
            <v>01-10-1300-000-100-67105</v>
          </cell>
          <cell r="C767" t="str">
            <v>ER FUI -QCPI</v>
          </cell>
          <cell r="D767">
            <v>0</v>
          </cell>
          <cell r="E767">
            <v>225.27</v>
          </cell>
          <cell r="F767">
            <v>0</v>
          </cell>
          <cell r="G767">
            <v>225.27</v>
          </cell>
          <cell r="H767">
            <v>225.27</v>
          </cell>
        </row>
        <row r="768">
          <cell r="B768" t="str">
            <v>01-10-1300-000-100-67110</v>
          </cell>
          <cell r="C768" t="str">
            <v>ER SUI - QCPI</v>
          </cell>
          <cell r="D768">
            <v>0</v>
          </cell>
          <cell r="E768">
            <v>1747.7</v>
          </cell>
          <cell r="F768">
            <v>0</v>
          </cell>
          <cell r="G768">
            <v>1747.7</v>
          </cell>
          <cell r="H768">
            <v>1747.7</v>
          </cell>
        </row>
        <row r="769">
          <cell r="B769" t="str">
            <v>01-10-1300-000-100-67120</v>
          </cell>
          <cell r="C769" t="str">
            <v>Worker's Comp Fee - QCPI</v>
          </cell>
          <cell r="D769">
            <v>0</v>
          </cell>
          <cell r="E769">
            <v>48.57</v>
          </cell>
          <cell r="F769">
            <v>0</v>
          </cell>
          <cell r="G769">
            <v>48.57</v>
          </cell>
          <cell r="H769">
            <v>48.57</v>
          </cell>
        </row>
        <row r="770">
          <cell r="B770" t="str">
            <v>01-10-1300-000-100-70025</v>
          </cell>
          <cell r="C770" t="str">
            <v>Books &amp; Publications - QCPI</v>
          </cell>
          <cell r="D770">
            <v>0</v>
          </cell>
          <cell r="E770">
            <v>43841.62</v>
          </cell>
          <cell r="F770">
            <v>11170</v>
          </cell>
          <cell r="G770">
            <v>32671.62</v>
          </cell>
          <cell r="H770">
            <v>32671.62</v>
          </cell>
        </row>
        <row r="771">
          <cell r="B771" t="str">
            <v>01-10-1300-000-100-70028</v>
          </cell>
          <cell r="C771" t="str">
            <v>Copier - QCPI</v>
          </cell>
          <cell r="D771">
            <v>0</v>
          </cell>
          <cell r="E771">
            <v>13921.09</v>
          </cell>
          <cell r="F771">
            <v>418.12</v>
          </cell>
          <cell r="G771">
            <v>13502.97</v>
          </cell>
          <cell r="H771">
            <v>13502.97</v>
          </cell>
        </row>
        <row r="772">
          <cell r="B772" t="str">
            <v>01-10-1300-000-100-70030</v>
          </cell>
          <cell r="C772" t="str">
            <v>Dues &amp; Memberships -QCPI</v>
          </cell>
          <cell r="D772">
            <v>0</v>
          </cell>
          <cell r="E772">
            <v>32822</v>
          </cell>
          <cell r="F772">
            <v>0</v>
          </cell>
          <cell r="G772">
            <v>32822</v>
          </cell>
          <cell r="H772">
            <v>32822</v>
          </cell>
        </row>
        <row r="773">
          <cell r="B773" t="str">
            <v>01-10-1300-000-100-70040</v>
          </cell>
          <cell r="C773" t="str">
            <v>Materials &amp; Services - QCPI</v>
          </cell>
          <cell r="D773">
            <v>0</v>
          </cell>
          <cell r="E773">
            <v>21</v>
          </cell>
          <cell r="F773">
            <v>0</v>
          </cell>
          <cell r="G773">
            <v>21</v>
          </cell>
          <cell r="H773">
            <v>21</v>
          </cell>
        </row>
        <row r="774">
          <cell r="B774" t="str">
            <v>01-10-1300-000-100-70055</v>
          </cell>
          <cell r="C774" t="str">
            <v>Postage &amp; Shipping -QCPI</v>
          </cell>
          <cell r="D774">
            <v>0</v>
          </cell>
          <cell r="E774">
            <v>2589.33</v>
          </cell>
          <cell r="F774">
            <v>395.57</v>
          </cell>
          <cell r="G774">
            <v>2193.7600000000002</v>
          </cell>
          <cell r="H774">
            <v>2193.7600000000002</v>
          </cell>
        </row>
        <row r="775">
          <cell r="B775" t="str">
            <v>01-10-1300-000-100-70060</v>
          </cell>
          <cell r="C775" t="str">
            <v>Printing -QCPI</v>
          </cell>
          <cell r="D775">
            <v>0</v>
          </cell>
          <cell r="E775">
            <v>172.75</v>
          </cell>
          <cell r="F775">
            <v>0</v>
          </cell>
          <cell r="G775">
            <v>172.75</v>
          </cell>
          <cell r="H775">
            <v>172.75</v>
          </cell>
        </row>
        <row r="776">
          <cell r="B776" t="str">
            <v>01-10-1300-000-100-70075</v>
          </cell>
          <cell r="C776" t="str">
            <v>Staff Dev - QCPI</v>
          </cell>
          <cell r="D776">
            <v>0</v>
          </cell>
          <cell r="E776">
            <v>2477</v>
          </cell>
          <cell r="F776">
            <v>25</v>
          </cell>
          <cell r="G776">
            <v>2452</v>
          </cell>
          <cell r="H776">
            <v>2452</v>
          </cell>
        </row>
        <row r="777">
          <cell r="B777" t="str">
            <v>01-10-1300-000-100-70090</v>
          </cell>
          <cell r="C777" t="str">
            <v>Travel - QCPI</v>
          </cell>
          <cell r="D777">
            <v>0</v>
          </cell>
          <cell r="E777">
            <v>11159.86</v>
          </cell>
          <cell r="F777">
            <v>2334.23</v>
          </cell>
          <cell r="G777">
            <v>8825.6299999999992</v>
          </cell>
          <cell r="H777">
            <v>8825.6299999999992</v>
          </cell>
        </row>
        <row r="778">
          <cell r="B778" t="str">
            <v>01-10-1300-000-100-70095</v>
          </cell>
          <cell r="C778" t="str">
            <v>Mileage -QCPI</v>
          </cell>
          <cell r="D778">
            <v>0</v>
          </cell>
          <cell r="E778">
            <v>1199.97</v>
          </cell>
          <cell r="F778">
            <v>161.41</v>
          </cell>
          <cell r="G778">
            <v>1038.56</v>
          </cell>
          <cell r="H778">
            <v>1038.56</v>
          </cell>
        </row>
        <row r="779">
          <cell r="B779" t="str">
            <v>01-10-1300-000-100-70100</v>
          </cell>
          <cell r="C779" t="str">
            <v>Office Supplies -QCPI</v>
          </cell>
          <cell r="D779">
            <v>0</v>
          </cell>
          <cell r="E779">
            <v>9069.36</v>
          </cell>
          <cell r="F779">
            <v>680.02</v>
          </cell>
          <cell r="G779">
            <v>8389.34</v>
          </cell>
          <cell r="H779">
            <v>8389.34</v>
          </cell>
        </row>
        <row r="780">
          <cell r="B780" t="str">
            <v>01-10-1300-000-100-70410</v>
          </cell>
          <cell r="C780" t="str">
            <v>Computer  Costs -QCPI</v>
          </cell>
          <cell r="D780">
            <v>0</v>
          </cell>
          <cell r="E780">
            <v>605.84</v>
          </cell>
          <cell r="F780">
            <v>5.6</v>
          </cell>
          <cell r="G780">
            <v>600.24</v>
          </cell>
          <cell r="H780">
            <v>600.24</v>
          </cell>
        </row>
        <row r="781">
          <cell r="B781" t="str">
            <v>01-10-1300-000-100-70420</v>
          </cell>
          <cell r="C781" t="str">
            <v>Software Subscript &amp; Mntnce -QCPI</v>
          </cell>
          <cell r="D781">
            <v>0</v>
          </cell>
          <cell r="E781">
            <v>59645.33</v>
          </cell>
          <cell r="F781">
            <v>8833.33</v>
          </cell>
          <cell r="G781">
            <v>50812</v>
          </cell>
          <cell r="H781">
            <v>50812</v>
          </cell>
        </row>
        <row r="782">
          <cell r="B782" t="str">
            <v>01-10-1300-000-100-71020</v>
          </cell>
          <cell r="C782" t="str">
            <v>Storage -QCPI</v>
          </cell>
          <cell r="D782">
            <v>0</v>
          </cell>
          <cell r="E782">
            <v>103.6</v>
          </cell>
          <cell r="F782">
            <v>103.6</v>
          </cell>
          <cell r="G782">
            <v>0</v>
          </cell>
          <cell r="H782">
            <v>0</v>
          </cell>
        </row>
        <row r="783">
          <cell r="B783" t="str">
            <v>01-10-1300-000-100-72030</v>
          </cell>
          <cell r="C783" t="str">
            <v>Recycling -QCPI</v>
          </cell>
          <cell r="D783">
            <v>0</v>
          </cell>
          <cell r="E783">
            <v>1100.27</v>
          </cell>
          <cell r="F783">
            <v>0</v>
          </cell>
          <cell r="G783">
            <v>1100.27</v>
          </cell>
          <cell r="H783">
            <v>1100.27</v>
          </cell>
        </row>
        <row r="784">
          <cell r="B784" t="str">
            <v>01-10-1300-000-100-72035</v>
          </cell>
          <cell r="C784" t="str">
            <v>Phone -QCPI</v>
          </cell>
          <cell r="D784">
            <v>0</v>
          </cell>
          <cell r="E784">
            <v>7502.44</v>
          </cell>
          <cell r="F784">
            <v>76.8</v>
          </cell>
          <cell r="G784">
            <v>7425.64</v>
          </cell>
          <cell r="H784">
            <v>7425.64</v>
          </cell>
        </row>
        <row r="785">
          <cell r="B785" t="str">
            <v>01-10-1300-000-100-72040</v>
          </cell>
          <cell r="C785" t="str">
            <v>Water - QCPI</v>
          </cell>
          <cell r="D785">
            <v>0</v>
          </cell>
          <cell r="E785">
            <v>436.49</v>
          </cell>
          <cell r="F785">
            <v>0</v>
          </cell>
          <cell r="G785">
            <v>436.49</v>
          </cell>
          <cell r="H785">
            <v>436.49</v>
          </cell>
        </row>
        <row r="786">
          <cell r="B786" t="str">
            <v>01-10-1300-000-100-98005</v>
          </cell>
          <cell r="C786" t="str">
            <v>FTEs-Dir Mgr-UNMMG-QCPI</v>
          </cell>
          <cell r="D786">
            <v>0</v>
          </cell>
          <cell r="E786">
            <v>28</v>
          </cell>
          <cell r="F786">
            <v>28</v>
          </cell>
          <cell r="G786">
            <v>0</v>
          </cell>
          <cell r="H786">
            <v>0</v>
          </cell>
        </row>
        <row r="787">
          <cell r="B787" t="str">
            <v>01-10-1300-000-100-98006</v>
          </cell>
          <cell r="C787" t="str">
            <v>FTEs-Dir/Mgr-UNM-QCPI</v>
          </cell>
          <cell r="D787">
            <v>0</v>
          </cell>
          <cell r="E787">
            <v>56</v>
          </cell>
          <cell r="F787">
            <v>56</v>
          </cell>
          <cell r="G787">
            <v>0</v>
          </cell>
          <cell r="H787">
            <v>0</v>
          </cell>
        </row>
        <row r="788">
          <cell r="B788" t="str">
            <v>01-10-1300-000-100-98014</v>
          </cell>
          <cell r="C788" t="str">
            <v>FTEs-Prof-UNM-QCPI</v>
          </cell>
          <cell r="D788">
            <v>0</v>
          </cell>
          <cell r="E788">
            <v>28</v>
          </cell>
          <cell r="F788">
            <v>28</v>
          </cell>
          <cell r="G788">
            <v>0</v>
          </cell>
          <cell r="H788">
            <v>0</v>
          </cell>
        </row>
        <row r="789">
          <cell r="B789" t="str">
            <v>01-10-1300-000-100-98015</v>
          </cell>
          <cell r="C789" t="str">
            <v>FTEs-Technical-UNMMG-QCPI</v>
          </cell>
          <cell r="D789">
            <v>0</v>
          </cell>
          <cell r="E789">
            <v>14</v>
          </cell>
          <cell r="F789">
            <v>14</v>
          </cell>
          <cell r="G789">
            <v>0</v>
          </cell>
          <cell r="H789">
            <v>0</v>
          </cell>
        </row>
        <row r="790">
          <cell r="B790" t="str">
            <v>01-10-1300-000-100-98018</v>
          </cell>
          <cell r="C790" t="str">
            <v>FTEs-Clerical-UNMMG-QCPI</v>
          </cell>
          <cell r="D790">
            <v>0</v>
          </cell>
          <cell r="E790">
            <v>14</v>
          </cell>
          <cell r="F790">
            <v>14</v>
          </cell>
          <cell r="G790">
            <v>0</v>
          </cell>
          <cell r="H790">
            <v>0</v>
          </cell>
        </row>
        <row r="791">
          <cell r="B791" t="str">
            <v>01-10-1300-000-100-98019</v>
          </cell>
          <cell r="C791" t="str">
            <v>FTEs-Clerical-UNM-QCPI</v>
          </cell>
          <cell r="D791">
            <v>0</v>
          </cell>
          <cell r="E791">
            <v>42</v>
          </cell>
          <cell r="F791">
            <v>42</v>
          </cell>
          <cell r="G791">
            <v>0</v>
          </cell>
          <cell r="H791">
            <v>0</v>
          </cell>
        </row>
        <row r="792">
          <cell r="B792" t="str">
            <v>01-10-1320-000-000-35010</v>
          </cell>
          <cell r="C792" t="str">
            <v>Prior Yr Fund Balance-OCCS</v>
          </cell>
          <cell r="D792">
            <v>0</v>
          </cell>
          <cell r="E792">
            <v>998267.05</v>
          </cell>
          <cell r="F792">
            <v>0</v>
          </cell>
          <cell r="G792">
            <v>998267.05</v>
          </cell>
          <cell r="H792">
            <v>998267.05</v>
          </cell>
        </row>
        <row r="793">
          <cell r="B793" t="str">
            <v>01-10-1320-000-100-60005</v>
          </cell>
          <cell r="C793" t="str">
            <v>Salaries-Dir Mgr - OCCS</v>
          </cell>
          <cell r="D793">
            <v>0</v>
          </cell>
          <cell r="E793">
            <v>135829.06</v>
          </cell>
          <cell r="F793">
            <v>0</v>
          </cell>
          <cell r="G793">
            <v>135829.06</v>
          </cell>
          <cell r="H793">
            <v>135829.06</v>
          </cell>
        </row>
        <row r="794">
          <cell r="B794" t="str">
            <v>01-10-1320-000-100-60013</v>
          </cell>
          <cell r="C794" t="str">
            <v>Salaries-Prof - OCCS</v>
          </cell>
          <cell r="D794">
            <v>0</v>
          </cell>
          <cell r="E794">
            <v>332703.86</v>
          </cell>
          <cell r="F794">
            <v>68691.240000000005</v>
          </cell>
          <cell r="G794">
            <v>264012.62</v>
          </cell>
          <cell r="H794">
            <v>264012.62</v>
          </cell>
        </row>
        <row r="795">
          <cell r="B795" t="str">
            <v>01-10-1320-000-100-60015</v>
          </cell>
          <cell r="C795" t="str">
            <v>Salaries-Technical - OCCS</v>
          </cell>
          <cell r="D795">
            <v>0</v>
          </cell>
          <cell r="E795">
            <v>38901.910000000003</v>
          </cell>
          <cell r="F795">
            <v>38901.910000000003</v>
          </cell>
          <cell r="G795">
            <v>0</v>
          </cell>
          <cell r="H795">
            <v>0</v>
          </cell>
        </row>
        <row r="796">
          <cell r="B796" t="str">
            <v>01-10-1320-000-100-60018</v>
          </cell>
          <cell r="C796" t="str">
            <v>Salaries-Clerical - OCCS</v>
          </cell>
          <cell r="D796">
            <v>0</v>
          </cell>
          <cell r="E796">
            <v>150826.28</v>
          </cell>
          <cell r="F796">
            <v>53759.41</v>
          </cell>
          <cell r="G796">
            <v>97066.87</v>
          </cell>
          <cell r="H796">
            <v>97066.87</v>
          </cell>
        </row>
        <row r="797">
          <cell r="B797" t="str">
            <v>01-10-1320-000-100-60060</v>
          </cell>
          <cell r="C797" t="str">
            <v>Salaries-Temp - OCCS</v>
          </cell>
          <cell r="D797">
            <v>0</v>
          </cell>
          <cell r="E797">
            <v>6350.55</v>
          </cell>
          <cell r="F797">
            <v>816.9</v>
          </cell>
          <cell r="G797">
            <v>5533.65</v>
          </cell>
          <cell r="H797">
            <v>5533.65</v>
          </cell>
        </row>
        <row r="798">
          <cell r="B798" t="str">
            <v>01-10-1320-000-100-60070</v>
          </cell>
          <cell r="C798" t="str">
            <v>Contract Labor - OCCS</v>
          </cell>
          <cell r="D798">
            <v>0</v>
          </cell>
          <cell r="E798">
            <v>413168.22</v>
          </cell>
          <cell r="F798">
            <v>233517.8</v>
          </cell>
          <cell r="G798">
            <v>179650.42</v>
          </cell>
          <cell r="H798">
            <v>179650.42</v>
          </cell>
        </row>
        <row r="799">
          <cell r="B799" t="str">
            <v>01-10-1320-000-100-63500</v>
          </cell>
          <cell r="C799" t="str">
            <v>Overtime-UNMMG-OCCS</v>
          </cell>
          <cell r="D799">
            <v>0</v>
          </cell>
          <cell r="E799">
            <v>965.72</v>
          </cell>
          <cell r="F799">
            <v>59.42</v>
          </cell>
          <cell r="G799">
            <v>906.3</v>
          </cell>
          <cell r="H799">
            <v>906.3</v>
          </cell>
        </row>
        <row r="800">
          <cell r="B800" t="str">
            <v>01-10-1320-000-100-63505</v>
          </cell>
          <cell r="C800" t="str">
            <v>Overtime-UNM-OCCS</v>
          </cell>
          <cell r="D800">
            <v>0</v>
          </cell>
          <cell r="E800">
            <v>1213.32</v>
          </cell>
          <cell r="F800">
            <v>0</v>
          </cell>
          <cell r="G800">
            <v>1213.32</v>
          </cell>
          <cell r="H800">
            <v>1213.32</v>
          </cell>
        </row>
        <row r="801">
          <cell r="B801" t="str">
            <v>01-10-1320-000-100-64002</v>
          </cell>
          <cell r="C801" t="str">
            <v>Billed from UH - Salaries - OCCS</v>
          </cell>
          <cell r="D801">
            <v>0</v>
          </cell>
          <cell r="E801">
            <v>86248.77</v>
          </cell>
          <cell r="F801">
            <v>5414.56</v>
          </cell>
          <cell r="G801">
            <v>80834.210000000006</v>
          </cell>
          <cell r="H801">
            <v>80834.210000000006</v>
          </cell>
        </row>
        <row r="802">
          <cell r="B802" t="str">
            <v>01-10-1320-000-100-64050</v>
          </cell>
          <cell r="C802" t="str">
            <v>Emp Benefits-UNM - OCCS</v>
          </cell>
          <cell r="D802">
            <v>0</v>
          </cell>
          <cell r="E802">
            <v>147210.06</v>
          </cell>
          <cell r="F802">
            <v>77670.45</v>
          </cell>
          <cell r="G802">
            <v>69539.61</v>
          </cell>
          <cell r="H802">
            <v>69539.61</v>
          </cell>
        </row>
        <row r="803">
          <cell r="B803" t="str">
            <v>01-10-1320-000-100-64055</v>
          </cell>
          <cell r="C803" t="str">
            <v>Employee Benefits UNMMG - OCCS</v>
          </cell>
          <cell r="D803">
            <v>0</v>
          </cell>
          <cell r="E803">
            <v>32369.54</v>
          </cell>
          <cell r="F803">
            <v>32269.77</v>
          </cell>
          <cell r="G803">
            <v>99.77</v>
          </cell>
          <cell r="H803">
            <v>99.77</v>
          </cell>
        </row>
        <row r="804">
          <cell r="B804" t="str">
            <v>01-10-1320-000-100-65005</v>
          </cell>
          <cell r="C804" t="str">
            <v>Emp Benefits-STD - OCCS</v>
          </cell>
          <cell r="D804">
            <v>0</v>
          </cell>
          <cell r="E804">
            <v>1111.75</v>
          </cell>
          <cell r="F804">
            <v>0</v>
          </cell>
          <cell r="G804">
            <v>1111.75</v>
          </cell>
          <cell r="H804">
            <v>1111.75</v>
          </cell>
        </row>
        <row r="805">
          <cell r="B805" t="str">
            <v>01-10-1320-000-100-65008</v>
          </cell>
          <cell r="C805" t="str">
            <v>Emp Benefits-Tuition - OCCS</v>
          </cell>
          <cell r="D805">
            <v>0</v>
          </cell>
          <cell r="E805">
            <v>35</v>
          </cell>
          <cell r="F805">
            <v>179</v>
          </cell>
          <cell r="G805">
            <v>-144</v>
          </cell>
          <cell r="H805">
            <v>-144</v>
          </cell>
        </row>
        <row r="806">
          <cell r="B806" t="str">
            <v>01-10-1320-000-100-67025</v>
          </cell>
          <cell r="C806" t="str">
            <v>ER 403(b) - OCCS</v>
          </cell>
          <cell r="D806">
            <v>0</v>
          </cell>
          <cell r="E806">
            <v>18364.95</v>
          </cell>
          <cell r="F806">
            <v>0</v>
          </cell>
          <cell r="G806">
            <v>18364.95</v>
          </cell>
          <cell r="H806">
            <v>18364.95</v>
          </cell>
        </row>
        <row r="807">
          <cell r="B807" t="str">
            <v>01-10-1320-000-100-67030</v>
          </cell>
          <cell r="C807" t="str">
            <v>ER Hlth Dental &amp; Vision - OCCS</v>
          </cell>
          <cell r="D807">
            <v>0</v>
          </cell>
          <cell r="E807">
            <v>14645.77</v>
          </cell>
          <cell r="F807">
            <v>0</v>
          </cell>
          <cell r="G807">
            <v>14645.77</v>
          </cell>
          <cell r="H807">
            <v>14645.77</v>
          </cell>
        </row>
        <row r="808">
          <cell r="B808" t="str">
            <v>01-10-1320-000-100-67050</v>
          </cell>
          <cell r="C808" t="str">
            <v>ER Life Ins - OCCS</v>
          </cell>
          <cell r="D808">
            <v>0</v>
          </cell>
          <cell r="E808">
            <v>646.22</v>
          </cell>
          <cell r="F808">
            <v>0</v>
          </cell>
          <cell r="G808">
            <v>646.22</v>
          </cell>
          <cell r="H808">
            <v>646.22</v>
          </cell>
        </row>
        <row r="809">
          <cell r="B809" t="str">
            <v>01-10-1320-000-100-67100</v>
          </cell>
          <cell r="C809" t="str">
            <v>ER Fica_Mcare - OCCS</v>
          </cell>
          <cell r="D809">
            <v>0</v>
          </cell>
          <cell r="E809">
            <v>21210.91</v>
          </cell>
          <cell r="F809">
            <v>0</v>
          </cell>
          <cell r="G809">
            <v>21210.91</v>
          </cell>
          <cell r="H809">
            <v>21210.91</v>
          </cell>
        </row>
        <row r="810">
          <cell r="B810" t="str">
            <v>01-10-1320-000-100-67105</v>
          </cell>
          <cell r="C810" t="str">
            <v>ER FUI - OCCS</v>
          </cell>
          <cell r="D810">
            <v>0</v>
          </cell>
          <cell r="E810">
            <v>294.14</v>
          </cell>
          <cell r="F810">
            <v>0</v>
          </cell>
          <cell r="G810">
            <v>294.14</v>
          </cell>
          <cell r="H810">
            <v>294.14</v>
          </cell>
        </row>
        <row r="811">
          <cell r="B811" t="str">
            <v>01-10-1320-000-100-67110</v>
          </cell>
          <cell r="C811" t="str">
            <v>ER SUI - OCCS</v>
          </cell>
          <cell r="D811">
            <v>0</v>
          </cell>
          <cell r="E811">
            <v>2543.0500000000002</v>
          </cell>
          <cell r="F811">
            <v>0</v>
          </cell>
          <cell r="G811">
            <v>2543.0500000000002</v>
          </cell>
          <cell r="H811">
            <v>2543.0500000000002</v>
          </cell>
        </row>
        <row r="812">
          <cell r="B812" t="str">
            <v>01-10-1320-000-100-67120</v>
          </cell>
          <cell r="C812" t="str">
            <v>Worker's Comp Fee - OCCS</v>
          </cell>
          <cell r="D812">
            <v>0</v>
          </cell>
          <cell r="E812">
            <v>37.36</v>
          </cell>
          <cell r="F812">
            <v>0</v>
          </cell>
          <cell r="G812">
            <v>37.36</v>
          </cell>
          <cell r="H812">
            <v>37.36</v>
          </cell>
        </row>
        <row r="813">
          <cell r="B813" t="str">
            <v>01-10-1320-000-100-70025</v>
          </cell>
          <cell r="C813" t="str">
            <v>Books &amp; Publications - OCCS</v>
          </cell>
          <cell r="D813">
            <v>0</v>
          </cell>
          <cell r="E813">
            <v>61</v>
          </cell>
          <cell r="F813">
            <v>61</v>
          </cell>
          <cell r="G813">
            <v>0</v>
          </cell>
          <cell r="H813">
            <v>0</v>
          </cell>
        </row>
        <row r="814">
          <cell r="B814" t="str">
            <v>01-10-1320-000-100-70028</v>
          </cell>
          <cell r="C814" t="str">
            <v>Copier - OCCS</v>
          </cell>
          <cell r="D814">
            <v>0</v>
          </cell>
          <cell r="E814">
            <v>8382.61</v>
          </cell>
          <cell r="F814">
            <v>321.63</v>
          </cell>
          <cell r="G814">
            <v>8060.98</v>
          </cell>
          <cell r="H814">
            <v>8060.98</v>
          </cell>
        </row>
        <row r="815">
          <cell r="B815" t="str">
            <v>01-10-1320-000-100-70030</v>
          </cell>
          <cell r="C815" t="str">
            <v>Dues &amp; Memberships - OCCS</v>
          </cell>
          <cell r="D815">
            <v>0</v>
          </cell>
          <cell r="E815">
            <v>661</v>
          </cell>
          <cell r="F815">
            <v>0</v>
          </cell>
          <cell r="G815">
            <v>661</v>
          </cell>
          <cell r="H815">
            <v>661</v>
          </cell>
        </row>
        <row r="816">
          <cell r="B816" t="str">
            <v>01-10-1320-000-100-70035</v>
          </cell>
          <cell r="C816" t="str">
            <v>Insurance Commercial - OCCS</v>
          </cell>
          <cell r="D816">
            <v>0</v>
          </cell>
          <cell r="E816">
            <v>1756.8</v>
          </cell>
          <cell r="F816">
            <v>0</v>
          </cell>
          <cell r="G816">
            <v>1756.8</v>
          </cell>
          <cell r="H816">
            <v>1756.8</v>
          </cell>
        </row>
        <row r="817">
          <cell r="B817" t="str">
            <v>01-10-1320-000-100-70040</v>
          </cell>
          <cell r="C817" t="str">
            <v>Materials &amp; Services - OCCS</v>
          </cell>
          <cell r="D817">
            <v>0</v>
          </cell>
          <cell r="E817">
            <v>221.22</v>
          </cell>
          <cell r="F817">
            <v>131.76</v>
          </cell>
          <cell r="G817">
            <v>89.46</v>
          </cell>
          <cell r="H817">
            <v>89.46</v>
          </cell>
        </row>
        <row r="818">
          <cell r="B818" t="str">
            <v>01-10-1320-000-100-70055</v>
          </cell>
          <cell r="C818" t="str">
            <v>Postage &amp; Shipping - OCCS</v>
          </cell>
          <cell r="D818">
            <v>0</v>
          </cell>
          <cell r="E818">
            <v>3724.09</v>
          </cell>
          <cell r="F818">
            <v>396.55</v>
          </cell>
          <cell r="G818">
            <v>3327.54</v>
          </cell>
          <cell r="H818">
            <v>3327.54</v>
          </cell>
        </row>
        <row r="819">
          <cell r="B819" t="str">
            <v>01-10-1320-000-100-70090</v>
          </cell>
          <cell r="C819" t="str">
            <v>Travel - OCCS</v>
          </cell>
          <cell r="D819">
            <v>0</v>
          </cell>
          <cell r="E819">
            <v>57158.28</v>
          </cell>
          <cell r="F819">
            <v>34401.019999999997</v>
          </cell>
          <cell r="G819">
            <v>22757.26</v>
          </cell>
          <cell r="H819">
            <v>22757.26</v>
          </cell>
        </row>
        <row r="820">
          <cell r="B820" t="str">
            <v>01-10-1320-000-100-70100</v>
          </cell>
          <cell r="C820" t="str">
            <v>Office Supplies - OCCS</v>
          </cell>
          <cell r="D820">
            <v>0</v>
          </cell>
          <cell r="E820">
            <v>5850.17</v>
          </cell>
          <cell r="F820">
            <v>514.41999999999996</v>
          </cell>
          <cell r="G820">
            <v>5335.75</v>
          </cell>
          <cell r="H820">
            <v>5335.75</v>
          </cell>
        </row>
        <row r="821">
          <cell r="B821" t="str">
            <v>01-10-1320-000-100-70410</v>
          </cell>
          <cell r="C821" t="str">
            <v>Computer  Costs - OCCS</v>
          </cell>
          <cell r="D821">
            <v>0</v>
          </cell>
          <cell r="E821">
            <v>725</v>
          </cell>
          <cell r="F821">
            <v>0</v>
          </cell>
          <cell r="G821">
            <v>725</v>
          </cell>
          <cell r="H821">
            <v>725</v>
          </cell>
        </row>
        <row r="822">
          <cell r="B822" t="str">
            <v>01-10-1320-000-100-70550</v>
          </cell>
          <cell r="C822" t="str">
            <v>Furn Fix &amp; Remodel - OCCS</v>
          </cell>
          <cell r="D822">
            <v>0</v>
          </cell>
          <cell r="E822">
            <v>968.93</v>
          </cell>
          <cell r="F822">
            <v>0</v>
          </cell>
          <cell r="G822">
            <v>968.93</v>
          </cell>
          <cell r="H822">
            <v>968.93</v>
          </cell>
        </row>
        <row r="823">
          <cell r="B823" t="str">
            <v>01-10-1320-000-100-71020</v>
          </cell>
          <cell r="C823" t="str">
            <v>Storage - OCCS</v>
          </cell>
          <cell r="D823">
            <v>0</v>
          </cell>
          <cell r="E823">
            <v>408.58</v>
          </cell>
          <cell r="F823">
            <v>196.68</v>
          </cell>
          <cell r="G823">
            <v>211.9</v>
          </cell>
          <cell r="H823">
            <v>211.9</v>
          </cell>
        </row>
        <row r="824">
          <cell r="B824" t="str">
            <v>01-10-1320-000-100-72030</v>
          </cell>
          <cell r="C824" t="str">
            <v>Recycling - OCCS</v>
          </cell>
          <cell r="D824">
            <v>0</v>
          </cell>
          <cell r="E824">
            <v>628.16</v>
          </cell>
          <cell r="F824">
            <v>0</v>
          </cell>
          <cell r="G824">
            <v>628.16</v>
          </cell>
          <cell r="H824">
            <v>628.16</v>
          </cell>
        </row>
        <row r="825">
          <cell r="B825" t="str">
            <v>01-10-1320-000-100-72035</v>
          </cell>
          <cell r="C825" t="str">
            <v>Phone - OCCS</v>
          </cell>
          <cell r="D825">
            <v>0</v>
          </cell>
          <cell r="E825">
            <v>7014.1</v>
          </cell>
          <cell r="F825">
            <v>42.57</v>
          </cell>
          <cell r="G825">
            <v>6971.53</v>
          </cell>
          <cell r="H825">
            <v>6971.53</v>
          </cell>
        </row>
        <row r="826">
          <cell r="B826" t="str">
            <v>01-10-1320-000-100-72040</v>
          </cell>
          <cell r="C826" t="str">
            <v>Water - OCCS</v>
          </cell>
          <cell r="D826">
            <v>0</v>
          </cell>
          <cell r="E826">
            <v>250.64</v>
          </cell>
          <cell r="F826">
            <v>0</v>
          </cell>
          <cell r="G826">
            <v>250.64</v>
          </cell>
          <cell r="H826">
            <v>250.64</v>
          </cell>
        </row>
        <row r="827">
          <cell r="B827" t="str">
            <v>01-10-1320-000-100-98005</v>
          </cell>
          <cell r="C827" t="str">
            <v>FTEs-Dir Mgr-UNMMG-OCCS</v>
          </cell>
          <cell r="D827">
            <v>0</v>
          </cell>
          <cell r="E827">
            <v>18</v>
          </cell>
          <cell r="F827">
            <v>18</v>
          </cell>
          <cell r="G827">
            <v>0</v>
          </cell>
          <cell r="H827">
            <v>0</v>
          </cell>
        </row>
        <row r="828">
          <cell r="B828" t="str">
            <v>01-10-1320-000-100-98006</v>
          </cell>
          <cell r="C828" t="str">
            <v>FTEs-Dir/Mgr-UNM-OCCS</v>
          </cell>
          <cell r="D828">
            <v>0</v>
          </cell>
          <cell r="E828">
            <v>3</v>
          </cell>
          <cell r="F828">
            <v>3</v>
          </cell>
          <cell r="G828">
            <v>0</v>
          </cell>
          <cell r="H828">
            <v>0</v>
          </cell>
        </row>
        <row r="829">
          <cell r="B829" t="str">
            <v>01-10-1320-000-100-98013</v>
          </cell>
          <cell r="C829" t="str">
            <v>FTEs-Prof-UNMMG-OCCS</v>
          </cell>
          <cell r="D829">
            <v>0</v>
          </cell>
          <cell r="E829">
            <v>20</v>
          </cell>
          <cell r="F829">
            <v>20</v>
          </cell>
          <cell r="G829">
            <v>0</v>
          </cell>
          <cell r="H829">
            <v>0</v>
          </cell>
        </row>
        <row r="830">
          <cell r="B830" t="str">
            <v>01-10-1320-000-100-98014</v>
          </cell>
          <cell r="C830" t="str">
            <v>FTEs-Prof-UNM-OCCS</v>
          </cell>
          <cell r="D830">
            <v>0</v>
          </cell>
          <cell r="E830">
            <v>28</v>
          </cell>
          <cell r="F830">
            <v>28</v>
          </cell>
          <cell r="G830">
            <v>0</v>
          </cell>
          <cell r="H830">
            <v>0</v>
          </cell>
        </row>
        <row r="831">
          <cell r="B831" t="str">
            <v>01-10-1320-000-100-98018</v>
          </cell>
          <cell r="C831" t="str">
            <v>FTEs-Clerical-UNMMG-OCCS</v>
          </cell>
          <cell r="D831">
            <v>0</v>
          </cell>
          <cell r="E831">
            <v>20.8</v>
          </cell>
          <cell r="F831">
            <v>20.8</v>
          </cell>
          <cell r="G831">
            <v>0</v>
          </cell>
          <cell r="H831">
            <v>0</v>
          </cell>
        </row>
        <row r="832">
          <cell r="B832" t="str">
            <v>01-10-1320-000-100-98019</v>
          </cell>
          <cell r="C832" t="str">
            <v>FTEs-Clerical-UNM-OCCS</v>
          </cell>
          <cell r="D832">
            <v>0</v>
          </cell>
          <cell r="E832">
            <v>14</v>
          </cell>
          <cell r="F832">
            <v>14</v>
          </cell>
          <cell r="G832">
            <v>0</v>
          </cell>
          <cell r="H832">
            <v>0</v>
          </cell>
        </row>
        <row r="833">
          <cell r="B833" t="str">
            <v>01-10-1320-000-100-98060</v>
          </cell>
          <cell r="C833" t="str">
            <v>FTEs-Temp-UNMMG-OCCS</v>
          </cell>
          <cell r="D833">
            <v>0</v>
          </cell>
          <cell r="E833">
            <v>2</v>
          </cell>
          <cell r="F833">
            <v>2</v>
          </cell>
          <cell r="G833">
            <v>0</v>
          </cell>
          <cell r="H833">
            <v>0</v>
          </cell>
        </row>
        <row r="834">
          <cell r="B834" t="str">
            <v>01-10-1400-000-000-35010</v>
          </cell>
          <cell r="C834" t="str">
            <v>Prior Yr Fund Balance-Sandoval County</v>
          </cell>
          <cell r="D834">
            <v>0</v>
          </cell>
          <cell r="E834">
            <v>3713.47</v>
          </cell>
          <cell r="F834">
            <v>0</v>
          </cell>
          <cell r="G834">
            <v>3713.47</v>
          </cell>
          <cell r="H834">
            <v>3713.47</v>
          </cell>
        </row>
        <row r="835">
          <cell r="B835" t="str">
            <v>01-10-1400-000-100-60005</v>
          </cell>
          <cell r="C835" t="str">
            <v>Salaries-Dir Mgr - Sandoval Cty</v>
          </cell>
          <cell r="D835">
            <v>0</v>
          </cell>
          <cell r="E835">
            <v>341303.84</v>
          </cell>
          <cell r="F835">
            <v>0</v>
          </cell>
          <cell r="G835">
            <v>341303.84</v>
          </cell>
          <cell r="H835">
            <v>341303.84</v>
          </cell>
        </row>
        <row r="836">
          <cell r="B836" t="str">
            <v>01-10-1400-000-100-60013</v>
          </cell>
          <cell r="C836" t="str">
            <v>Salaries-Prof - Sandoval Cty</v>
          </cell>
          <cell r="D836">
            <v>0</v>
          </cell>
          <cell r="E836">
            <v>35576.18</v>
          </cell>
          <cell r="F836">
            <v>0</v>
          </cell>
          <cell r="G836">
            <v>35576.18</v>
          </cell>
          <cell r="H836">
            <v>35576.18</v>
          </cell>
        </row>
        <row r="837">
          <cell r="B837" t="str">
            <v>01-10-1400-000-100-60015</v>
          </cell>
          <cell r="C837" t="str">
            <v>Salaries-Technical - Sandoval Cty</v>
          </cell>
          <cell r="D837">
            <v>0</v>
          </cell>
          <cell r="E837">
            <v>5250.06</v>
          </cell>
          <cell r="F837">
            <v>6553.32</v>
          </cell>
          <cell r="G837">
            <v>-1303.26</v>
          </cell>
          <cell r="H837">
            <v>-1303.26</v>
          </cell>
        </row>
        <row r="838">
          <cell r="B838" t="str">
            <v>01-10-1400-000-100-60018</v>
          </cell>
          <cell r="C838" t="str">
            <v>Salaries-Clerical - Sandoval Cty</v>
          </cell>
          <cell r="D838">
            <v>0</v>
          </cell>
          <cell r="E838">
            <v>57974.18</v>
          </cell>
          <cell r="F838">
            <v>716.82</v>
          </cell>
          <cell r="G838">
            <v>57257.36</v>
          </cell>
          <cell r="H838">
            <v>57257.36</v>
          </cell>
        </row>
        <row r="839">
          <cell r="B839" t="str">
            <v>01-10-1400-000-100-60080</v>
          </cell>
          <cell r="C839" t="str">
            <v>Medical Director Fees -Sandoval</v>
          </cell>
          <cell r="D839">
            <v>0</v>
          </cell>
          <cell r="E839">
            <v>356152.93</v>
          </cell>
          <cell r="F839">
            <v>200486.73</v>
          </cell>
          <cell r="G839">
            <v>155666.20000000001</v>
          </cell>
          <cell r="H839">
            <v>155666.20000000001</v>
          </cell>
        </row>
        <row r="840">
          <cell r="B840" t="str">
            <v>01-10-1400-000-100-63500</v>
          </cell>
          <cell r="C840" t="str">
            <v>Overtime-UNMMG-Sandoval Cty</v>
          </cell>
          <cell r="D840">
            <v>0</v>
          </cell>
          <cell r="E840">
            <v>360.21</v>
          </cell>
          <cell r="F840">
            <v>0</v>
          </cell>
          <cell r="G840">
            <v>360.21</v>
          </cell>
          <cell r="H840">
            <v>360.21</v>
          </cell>
        </row>
        <row r="841">
          <cell r="B841" t="str">
            <v>01-10-1400-000-100-64015</v>
          </cell>
          <cell r="C841" t="str">
            <v>Billed to SC Salaries-Sandoval Cty</v>
          </cell>
          <cell r="D841">
            <v>0</v>
          </cell>
          <cell r="E841">
            <v>219388.35</v>
          </cell>
          <cell r="F841">
            <v>940805.26</v>
          </cell>
          <cell r="G841">
            <v>-721416.91</v>
          </cell>
          <cell r="H841">
            <v>-721416.91</v>
          </cell>
        </row>
        <row r="842">
          <cell r="B842" t="str">
            <v>01-10-1400-000-100-64050</v>
          </cell>
          <cell r="C842" t="str">
            <v>Emp Benefits-UNM - Sandoval Cty</v>
          </cell>
          <cell r="D842">
            <v>0</v>
          </cell>
          <cell r="E842">
            <v>35120.11</v>
          </cell>
          <cell r="F842">
            <v>15667.23</v>
          </cell>
          <cell r="G842">
            <v>19452.88</v>
          </cell>
          <cell r="H842">
            <v>19452.88</v>
          </cell>
        </row>
        <row r="843">
          <cell r="B843" t="str">
            <v>01-10-1400-000-100-64055</v>
          </cell>
          <cell r="C843" t="str">
            <v>Employee Benefits UNMMG - Sandoval Cty</v>
          </cell>
          <cell r="D843">
            <v>0</v>
          </cell>
          <cell r="E843">
            <v>35947.14</v>
          </cell>
          <cell r="F843">
            <v>2552.1999999999998</v>
          </cell>
          <cell r="G843">
            <v>33394.94</v>
          </cell>
          <cell r="H843">
            <v>33394.94</v>
          </cell>
        </row>
        <row r="844">
          <cell r="B844" t="str">
            <v>01-10-1400-000-100-65005</v>
          </cell>
          <cell r="C844" t="str">
            <v>Emp Benefits-STD - Sandoval Cty</v>
          </cell>
          <cell r="D844">
            <v>0</v>
          </cell>
          <cell r="E844">
            <v>1097.33</v>
          </cell>
          <cell r="F844">
            <v>0</v>
          </cell>
          <cell r="G844">
            <v>1097.33</v>
          </cell>
          <cell r="H844">
            <v>1097.33</v>
          </cell>
        </row>
        <row r="845">
          <cell r="B845" t="str">
            <v>01-10-1400-000-100-67025</v>
          </cell>
          <cell r="C845" t="str">
            <v>ER 403(b) - Sandoval Cty</v>
          </cell>
          <cell r="D845">
            <v>0</v>
          </cell>
          <cell r="E845">
            <v>20335.37</v>
          </cell>
          <cell r="F845">
            <v>0</v>
          </cell>
          <cell r="G845">
            <v>20335.37</v>
          </cell>
          <cell r="H845">
            <v>20335.37</v>
          </cell>
        </row>
        <row r="846">
          <cell r="B846" t="str">
            <v>01-10-1400-000-100-67030</v>
          </cell>
          <cell r="C846" t="str">
            <v>ER Hlth Dental &amp; Vision - Sandoval Cty</v>
          </cell>
          <cell r="D846">
            <v>0</v>
          </cell>
          <cell r="E846">
            <v>24799.79</v>
          </cell>
          <cell r="F846">
            <v>0</v>
          </cell>
          <cell r="G846">
            <v>24799.79</v>
          </cell>
          <cell r="H846">
            <v>24799.79</v>
          </cell>
        </row>
        <row r="847">
          <cell r="B847" t="str">
            <v>01-10-1400-000-100-67050</v>
          </cell>
          <cell r="C847" t="str">
            <v>ER Life Ins - Sandoval Cty</v>
          </cell>
          <cell r="D847">
            <v>0</v>
          </cell>
          <cell r="E847">
            <v>329.37</v>
          </cell>
          <cell r="F847">
            <v>0</v>
          </cell>
          <cell r="G847">
            <v>329.37</v>
          </cell>
          <cell r="H847">
            <v>329.37</v>
          </cell>
        </row>
        <row r="848">
          <cell r="B848" t="str">
            <v>01-10-1400-000-100-67100</v>
          </cell>
          <cell r="C848" t="str">
            <v>ER Fica_Mcare - Sandoval Cty</v>
          </cell>
          <cell r="D848">
            <v>0</v>
          </cell>
          <cell r="E848">
            <v>29441.93</v>
          </cell>
          <cell r="F848">
            <v>0</v>
          </cell>
          <cell r="G848">
            <v>29441.93</v>
          </cell>
          <cell r="H848">
            <v>29441.93</v>
          </cell>
        </row>
        <row r="849">
          <cell r="B849" t="str">
            <v>01-10-1400-000-100-67105</v>
          </cell>
          <cell r="C849" t="str">
            <v>ER FUI - Sandoval Cty</v>
          </cell>
          <cell r="D849">
            <v>0</v>
          </cell>
          <cell r="E849">
            <v>441.62</v>
          </cell>
          <cell r="F849">
            <v>0</v>
          </cell>
          <cell r="G849">
            <v>441.62</v>
          </cell>
          <cell r="H849">
            <v>441.62</v>
          </cell>
        </row>
        <row r="850">
          <cell r="B850" t="str">
            <v>01-10-1400-000-100-67110</v>
          </cell>
          <cell r="C850" t="str">
            <v>ER SUI - Sandoval Cty</v>
          </cell>
          <cell r="D850">
            <v>0</v>
          </cell>
          <cell r="E850">
            <v>3263.15</v>
          </cell>
          <cell r="F850">
            <v>0</v>
          </cell>
          <cell r="G850">
            <v>3263.15</v>
          </cell>
          <cell r="H850">
            <v>3263.15</v>
          </cell>
        </row>
      </sheetData>
      <sheetData sheetId="49"/>
      <sheetData sheetId="50">
        <row r="10">
          <cell r="C10" t="str">
            <v>01-10-1000-000-100-60085</v>
          </cell>
        </row>
      </sheetData>
      <sheetData sheetId="51">
        <row r="9">
          <cell r="B9" t="str">
            <v>01-10-1000-000-000-01000</v>
          </cell>
        </row>
      </sheetData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Summary"/>
      <sheetName val="HS Summary (2)"/>
      <sheetName val="Surgery Summary"/>
      <sheetName val="Cancer Center Summary"/>
      <sheetName val="Women &amp; Children Summary"/>
      <sheetName val="Adult &amp; Primary Summary"/>
      <sheetName val="Behavioral Summary"/>
      <sheetName val="Hospital Based Services Summary"/>
      <sheetName val="Patient Days_Discharge_ALOS"/>
      <sheetName val="Provider wRVU's"/>
      <sheetName val="NURSING"/>
      <sheetName val="EMERGENCY"/>
      <sheetName val="CLINIC_AMB"/>
      <sheetName val="ANCILLARY"/>
      <sheetName val="CPC"/>
      <sheetName val="UPC"/>
      <sheetName val="SRMC"/>
      <sheetName val="Sheet7"/>
    </sheetNames>
    <sheetDataSet>
      <sheetData sheetId="0" refreshError="1"/>
      <sheetData sheetId="1" refreshError="1"/>
      <sheetData sheetId="2">
        <row r="134">
          <cell r="D134">
            <v>1148026.3967467248</v>
          </cell>
          <cell r="F134">
            <v>1165205.7799999998</v>
          </cell>
          <cell r="H134">
            <v>0</v>
          </cell>
          <cell r="J134">
            <v>1141401.081666667</v>
          </cell>
          <cell r="L134">
            <v>1194439.9100000004</v>
          </cell>
        </row>
        <row r="147">
          <cell r="D147">
            <v>188494.51011711001</v>
          </cell>
          <cell r="F147">
            <v>194642.4</v>
          </cell>
          <cell r="H147">
            <v>0</v>
          </cell>
          <cell r="J147">
            <v>171267.09166666667</v>
          </cell>
          <cell r="L147">
            <v>168589.64</v>
          </cell>
        </row>
      </sheetData>
      <sheetData sheetId="3">
        <row r="17">
          <cell r="D17">
            <v>120845.35040605068</v>
          </cell>
          <cell r="F17">
            <v>127498.27999999998</v>
          </cell>
          <cell r="H17">
            <v>0</v>
          </cell>
          <cell r="J17">
            <v>150575.31</v>
          </cell>
          <cell r="L17">
            <v>163951.40999999992</v>
          </cell>
        </row>
      </sheetData>
      <sheetData sheetId="4">
        <row r="87">
          <cell r="D87">
            <v>378465.90014475584</v>
          </cell>
          <cell r="F87">
            <v>377812.75</v>
          </cell>
          <cell r="H87">
            <v>0</v>
          </cell>
          <cell r="J87">
            <v>377559.36</v>
          </cell>
          <cell r="L87">
            <v>397156.93999999994</v>
          </cell>
        </row>
        <row r="93">
          <cell r="D93">
            <v>5047.0400021076202</v>
          </cell>
          <cell r="F93">
            <v>5015.3100000000004</v>
          </cell>
          <cell r="H93">
            <v>0</v>
          </cell>
          <cell r="J93">
            <v>9955.69</v>
          </cell>
          <cell r="L93">
            <v>12499.500000000004</v>
          </cell>
        </row>
      </sheetData>
      <sheetData sheetId="5">
        <row r="129">
          <cell r="D129">
            <v>525654.91004890203</v>
          </cell>
          <cell r="F129">
            <v>568808.1399999999</v>
          </cell>
          <cell r="H129">
            <v>0</v>
          </cell>
          <cell r="J129">
            <v>571986.94999999995</v>
          </cell>
          <cell r="L129">
            <v>599800.30000000005</v>
          </cell>
        </row>
        <row r="145">
          <cell r="D145">
            <v>48713.400113344193</v>
          </cell>
          <cell r="F145">
            <v>56081.35</v>
          </cell>
          <cell r="H145">
            <v>0</v>
          </cell>
          <cell r="J145">
            <v>54380.5</v>
          </cell>
          <cell r="L145">
            <v>53144</v>
          </cell>
        </row>
      </sheetData>
      <sheetData sheetId="6">
        <row r="103">
          <cell r="D103">
            <v>110087.00894165039</v>
          </cell>
          <cell r="F103">
            <v>110273.80999999998</v>
          </cell>
          <cell r="H103">
            <v>0</v>
          </cell>
          <cell r="J103">
            <v>105344</v>
          </cell>
          <cell r="L103">
            <v>101318</v>
          </cell>
        </row>
        <row r="109">
          <cell r="D109">
            <v>5797.4399799108505</v>
          </cell>
          <cell r="F109">
            <v>2556.62</v>
          </cell>
          <cell r="H109">
            <v>0</v>
          </cell>
          <cell r="J109">
            <v>2958.0299999999997</v>
          </cell>
          <cell r="L109">
            <v>3469</v>
          </cell>
        </row>
      </sheetData>
      <sheetData sheetId="7">
        <row r="80">
          <cell r="C80">
            <v>551015.31839752197</v>
          </cell>
          <cell r="E80">
            <v>558186.03</v>
          </cell>
          <cell r="G80">
            <v>0</v>
          </cell>
          <cell r="I80">
            <v>559825.31833333336</v>
          </cell>
          <cell r="K80">
            <v>565822.60999999987</v>
          </cell>
        </row>
        <row r="88">
          <cell r="C88">
            <v>82018.979915499687</v>
          </cell>
          <cell r="E88">
            <v>93277.98000000001</v>
          </cell>
          <cell r="G88">
            <v>0</v>
          </cell>
          <cell r="I88">
            <v>92201.438333333324</v>
          </cell>
          <cell r="K88">
            <v>93596.34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rev3_sor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"/>
      <sheetName val="MidasDiv"/>
      <sheetName val="BUDGET"/>
      <sheetName val="Provider Actuals"/>
      <sheetName val="LISTS"/>
      <sheetName val="Record"/>
      <sheetName val="FY17Budget"/>
      <sheetName val="ProviderRecords"/>
      <sheetName val="ProviderData"/>
      <sheetName val="Benchmarks"/>
      <sheetName val="ChartData"/>
      <sheetName val="SRMCServiceLine"/>
      <sheetName val="MikesData"/>
      <sheetName val="Sheet5"/>
    </sheetNames>
    <sheetDataSet>
      <sheetData sheetId="0" refreshError="1"/>
      <sheetData sheetId="1" refreshError="1"/>
      <sheetData sheetId="2" refreshError="1"/>
      <sheetData sheetId="3">
        <row r="3">
          <cell r="F3">
            <v>2015</v>
          </cell>
          <cell r="L3">
            <v>24.420000076293945</v>
          </cell>
          <cell r="P3" t="str">
            <v>Hospitalist</v>
          </cell>
        </row>
        <row r="4">
          <cell r="F4">
            <v>2015</v>
          </cell>
          <cell r="L4">
            <v>-5.0500001907348633</v>
          </cell>
          <cell r="P4" t="str">
            <v>Hospitalist</v>
          </cell>
        </row>
        <row r="5">
          <cell r="F5">
            <v>2016</v>
          </cell>
          <cell r="L5">
            <v>-19.370000839233398</v>
          </cell>
          <cell r="P5" t="str">
            <v>Hospitalist</v>
          </cell>
        </row>
        <row r="6">
          <cell r="F6">
            <v>2016</v>
          </cell>
          <cell r="L6">
            <v>47.889999389648438</v>
          </cell>
          <cell r="P6" t="str">
            <v>Hospitalist</v>
          </cell>
        </row>
        <row r="7">
          <cell r="F7">
            <v>2016</v>
          </cell>
          <cell r="L7">
            <v>46.029998779296875</v>
          </cell>
          <cell r="P7" t="str">
            <v>Hospitalist</v>
          </cell>
        </row>
        <row r="8">
          <cell r="F8">
            <v>2016</v>
          </cell>
          <cell r="L8">
            <v>77.209999084472656</v>
          </cell>
          <cell r="P8" t="str">
            <v>Hospitalist</v>
          </cell>
        </row>
        <row r="9">
          <cell r="F9">
            <v>2016</v>
          </cell>
          <cell r="L9">
            <v>29.739999771118164</v>
          </cell>
          <cell r="P9" t="str">
            <v>Hospitalist</v>
          </cell>
        </row>
        <row r="10">
          <cell r="F10">
            <v>2016</v>
          </cell>
          <cell r="L10">
            <v>49.220001220703125</v>
          </cell>
          <cell r="P10" t="str">
            <v>Hospitalist</v>
          </cell>
        </row>
        <row r="11">
          <cell r="F11">
            <v>2016</v>
          </cell>
          <cell r="L11">
            <v>55.049999237060547</v>
          </cell>
          <cell r="P11" t="str">
            <v>Hospitalist</v>
          </cell>
        </row>
        <row r="12">
          <cell r="F12">
            <v>2016</v>
          </cell>
          <cell r="L12">
            <v>29.329999923706055</v>
          </cell>
          <cell r="P12" t="str">
            <v>Hospitalist</v>
          </cell>
        </row>
        <row r="13">
          <cell r="F13">
            <v>2016</v>
          </cell>
          <cell r="L13">
            <v>37.860000610351563</v>
          </cell>
          <cell r="P13" t="str">
            <v>Hospitalist</v>
          </cell>
        </row>
        <row r="14">
          <cell r="F14">
            <v>2016</v>
          </cell>
          <cell r="L14">
            <v>64.709999084472656</v>
          </cell>
          <cell r="P14" t="str">
            <v>Hospitalist</v>
          </cell>
        </row>
        <row r="15">
          <cell r="F15">
            <v>2017</v>
          </cell>
          <cell r="L15">
            <v>106.15000152587891</v>
          </cell>
          <cell r="P15" t="str">
            <v>Hospitalist</v>
          </cell>
        </row>
        <row r="16">
          <cell r="F16">
            <v>2017</v>
          </cell>
          <cell r="L16">
            <v>87.879997253417969</v>
          </cell>
          <cell r="P16" t="str">
            <v>Hospitalist</v>
          </cell>
        </row>
        <row r="17">
          <cell r="F17">
            <v>2017</v>
          </cell>
          <cell r="L17">
            <v>0</v>
          </cell>
          <cell r="P17" t="str">
            <v>Hospitalist</v>
          </cell>
        </row>
        <row r="18">
          <cell r="F18">
            <v>2017</v>
          </cell>
          <cell r="L18">
            <v>4.4408920985006262E-16</v>
          </cell>
          <cell r="P18" t="str">
            <v>Hospitalist</v>
          </cell>
        </row>
        <row r="19">
          <cell r="F19">
            <v>2015</v>
          </cell>
          <cell r="L19">
            <v>67.849998474121094</v>
          </cell>
          <cell r="P19" t="str">
            <v>NEPHROLOGY</v>
          </cell>
        </row>
        <row r="20">
          <cell r="F20">
            <v>2015</v>
          </cell>
          <cell r="L20">
            <v>133.80000305175781</v>
          </cell>
          <cell r="P20" t="str">
            <v>NEPHROLOGY</v>
          </cell>
        </row>
        <row r="21">
          <cell r="F21">
            <v>2015</v>
          </cell>
          <cell r="L21">
            <v>123.37999725341797</v>
          </cell>
          <cell r="P21" t="str">
            <v>NEPHROLOGY</v>
          </cell>
        </row>
        <row r="22">
          <cell r="F22">
            <v>2015</v>
          </cell>
          <cell r="L22">
            <v>135.47999572753906</v>
          </cell>
          <cell r="P22" t="str">
            <v>NEPHROLOGY</v>
          </cell>
        </row>
        <row r="23">
          <cell r="F23">
            <v>2015</v>
          </cell>
          <cell r="L23">
            <v>129.24000549316406</v>
          </cell>
          <cell r="P23" t="str">
            <v>NEPHROLOGY</v>
          </cell>
        </row>
        <row r="24">
          <cell r="F24">
            <v>2015</v>
          </cell>
          <cell r="L24">
            <v>126.80999755859375</v>
          </cell>
          <cell r="P24" t="str">
            <v>NEPHROLOGY</v>
          </cell>
        </row>
        <row r="25">
          <cell r="F25">
            <v>2015</v>
          </cell>
          <cell r="L25">
            <v>116.69000244140625</v>
          </cell>
          <cell r="P25" t="str">
            <v>NEPHROLOGY</v>
          </cell>
        </row>
        <row r="26">
          <cell r="F26">
            <v>2015</v>
          </cell>
          <cell r="L26">
            <v>76.180000305175781</v>
          </cell>
          <cell r="P26" t="str">
            <v>NEPHROLOGY</v>
          </cell>
        </row>
        <row r="27">
          <cell r="F27">
            <v>2015</v>
          </cell>
          <cell r="L27">
            <v>3.2899999618530273</v>
          </cell>
          <cell r="P27" t="str">
            <v>NEPHROLOGY</v>
          </cell>
        </row>
        <row r="28">
          <cell r="F28">
            <v>2015</v>
          </cell>
          <cell r="L28">
            <v>74.669998168945313</v>
          </cell>
          <cell r="P28" t="str">
            <v>NEPHROLOGY</v>
          </cell>
        </row>
        <row r="29">
          <cell r="F29">
            <v>2015</v>
          </cell>
          <cell r="L29">
            <v>74.75</v>
          </cell>
          <cell r="P29" t="str">
            <v>NEPHROLOGY</v>
          </cell>
        </row>
        <row r="30">
          <cell r="F30">
            <v>2015</v>
          </cell>
          <cell r="L30">
            <v>42.569999694824219</v>
          </cell>
          <cell r="P30" t="str">
            <v>NEPHROLOGY</v>
          </cell>
        </row>
        <row r="31">
          <cell r="F31">
            <v>2016</v>
          </cell>
          <cell r="L31">
            <v>70.019996643066406</v>
          </cell>
          <cell r="P31" t="str">
            <v>NEPHROLOGY</v>
          </cell>
        </row>
        <row r="32">
          <cell r="F32">
            <v>2016</v>
          </cell>
          <cell r="L32">
            <v>36.909999847412109</v>
          </cell>
          <cell r="P32" t="str">
            <v>NEPHROLOGY</v>
          </cell>
        </row>
        <row r="33">
          <cell r="F33">
            <v>2016</v>
          </cell>
          <cell r="L33">
            <v>79.680000305175781</v>
          </cell>
          <cell r="P33" t="str">
            <v>NEPHROLOGY</v>
          </cell>
        </row>
        <row r="34">
          <cell r="F34">
            <v>2016</v>
          </cell>
          <cell r="L34">
            <v>58.5</v>
          </cell>
          <cell r="P34" t="str">
            <v>NEPHROLOGY</v>
          </cell>
        </row>
        <row r="35">
          <cell r="F35">
            <v>2016</v>
          </cell>
          <cell r="L35">
            <v>26.629999160766602</v>
          </cell>
          <cell r="P35" t="str">
            <v>NEPHROLOGY</v>
          </cell>
        </row>
        <row r="36">
          <cell r="F36">
            <v>2016</v>
          </cell>
          <cell r="L36">
            <v>105.80999755859375</v>
          </cell>
          <cell r="P36" t="str">
            <v>NEPHROLOGY</v>
          </cell>
        </row>
        <row r="37">
          <cell r="F37">
            <v>2016</v>
          </cell>
          <cell r="L37">
            <v>68.430000305175781</v>
          </cell>
          <cell r="P37" t="str">
            <v>NEPHROLOGY</v>
          </cell>
        </row>
        <row r="38">
          <cell r="F38">
            <v>2016</v>
          </cell>
          <cell r="L38">
            <v>46.759998321533203</v>
          </cell>
          <cell r="P38" t="str">
            <v>NEPHROLOGY</v>
          </cell>
        </row>
        <row r="39">
          <cell r="F39">
            <v>2016</v>
          </cell>
          <cell r="L39">
            <v>33.569999694824219</v>
          </cell>
          <cell r="P39" t="str">
            <v>NEPHROLOGY</v>
          </cell>
        </row>
        <row r="40">
          <cell r="F40">
            <v>2016</v>
          </cell>
          <cell r="L40">
            <v>101.12000274658203</v>
          </cell>
          <cell r="P40" t="str">
            <v>NEPHROLOGY</v>
          </cell>
        </row>
        <row r="41">
          <cell r="F41">
            <v>2016</v>
          </cell>
          <cell r="L41">
            <v>32.200000762939453</v>
          </cell>
          <cell r="P41" t="str">
            <v>NEPHROLOGY</v>
          </cell>
        </row>
        <row r="42">
          <cell r="F42">
            <v>2016</v>
          </cell>
          <cell r="L42">
            <v>77.970001220703125</v>
          </cell>
          <cell r="P42" t="str">
            <v>NEPHROLOGY</v>
          </cell>
        </row>
        <row r="43">
          <cell r="F43">
            <v>2017</v>
          </cell>
          <cell r="L43">
            <v>28.049999237060547</v>
          </cell>
          <cell r="P43" t="str">
            <v>NEPHROLOGY</v>
          </cell>
        </row>
        <row r="44">
          <cell r="F44">
            <v>2017</v>
          </cell>
          <cell r="L44">
            <v>116.55999755859375</v>
          </cell>
          <cell r="P44" t="str">
            <v>NEPHROLOGY</v>
          </cell>
        </row>
        <row r="45">
          <cell r="F45">
            <v>2017</v>
          </cell>
          <cell r="L45">
            <v>51.180000305175781</v>
          </cell>
          <cell r="P45" t="str">
            <v>NEPHROLOGY</v>
          </cell>
        </row>
        <row r="46">
          <cell r="F46">
            <v>2017</v>
          </cell>
          <cell r="L46">
            <v>113.80000305175781</v>
          </cell>
          <cell r="P46" t="str">
            <v>NEPHROLOGY</v>
          </cell>
        </row>
        <row r="47">
          <cell r="F47">
            <v>2017</v>
          </cell>
          <cell r="L47">
            <v>47.970001220703125</v>
          </cell>
          <cell r="P47" t="str">
            <v>NEPHROLOGY</v>
          </cell>
        </row>
        <row r="48">
          <cell r="F48">
            <v>2017</v>
          </cell>
          <cell r="L48">
            <v>86.760002136230469</v>
          </cell>
          <cell r="P48" t="str">
            <v>NEPHROLOGY</v>
          </cell>
        </row>
        <row r="49">
          <cell r="F49">
            <v>2016</v>
          </cell>
          <cell r="L49">
            <v>7.1399998664855957</v>
          </cell>
          <cell r="P49" t="str">
            <v>GASTROENTEROLOGY</v>
          </cell>
        </row>
        <row r="50">
          <cell r="F50">
            <v>2016</v>
          </cell>
          <cell r="L50">
            <v>16.559999465942383</v>
          </cell>
          <cell r="P50" t="str">
            <v>GASTROENTEROLOGY</v>
          </cell>
        </row>
        <row r="51">
          <cell r="F51">
            <v>2016</v>
          </cell>
          <cell r="L51">
            <v>4.880000114440918</v>
          </cell>
          <cell r="P51" t="str">
            <v>GASTROENTEROLOGY</v>
          </cell>
        </row>
        <row r="52">
          <cell r="F52">
            <v>2016</v>
          </cell>
          <cell r="L52">
            <v>2.6099998950958252</v>
          </cell>
          <cell r="P52" t="str">
            <v>GASTROENTEROLOGY</v>
          </cell>
        </row>
        <row r="53">
          <cell r="F53">
            <v>2016</v>
          </cell>
          <cell r="L53">
            <v>8.0299997329711914</v>
          </cell>
          <cell r="P53" t="str">
            <v>GASTROENTEROLOGY</v>
          </cell>
        </row>
        <row r="54">
          <cell r="F54">
            <v>2016</v>
          </cell>
          <cell r="L54">
            <v>13.930000305175781</v>
          </cell>
          <cell r="P54" t="str">
            <v>GASTROENTEROLOGY</v>
          </cell>
        </row>
        <row r="55">
          <cell r="F55">
            <v>2016</v>
          </cell>
          <cell r="L55">
            <v>13.189999580383301</v>
          </cell>
          <cell r="P55" t="str">
            <v>GASTROENTEROLOGY</v>
          </cell>
        </row>
        <row r="56">
          <cell r="F56">
            <v>2016</v>
          </cell>
          <cell r="L56">
            <v>3.2899999618530273</v>
          </cell>
          <cell r="P56" t="str">
            <v>GASTROENTEROLOGY</v>
          </cell>
        </row>
        <row r="57">
          <cell r="F57">
            <v>2017</v>
          </cell>
          <cell r="L57">
            <v>21.739999771118164</v>
          </cell>
          <cell r="P57" t="str">
            <v>GASTROENTEROLOGY</v>
          </cell>
        </row>
        <row r="58">
          <cell r="F58">
            <v>2017</v>
          </cell>
          <cell r="L58">
            <v>2.4300000667572021</v>
          </cell>
          <cell r="P58" t="str">
            <v>GASTROENTEROLOGY</v>
          </cell>
        </row>
        <row r="59">
          <cell r="F59">
            <v>2017</v>
          </cell>
          <cell r="L59">
            <v>58.340000152587891</v>
          </cell>
          <cell r="P59" t="str">
            <v>GASTROENTEROLOGY</v>
          </cell>
        </row>
        <row r="60">
          <cell r="F60">
            <v>2017</v>
          </cell>
          <cell r="L60">
            <v>72.239997863769531</v>
          </cell>
          <cell r="P60" t="str">
            <v>GASTROENTEROLOGY</v>
          </cell>
        </row>
        <row r="61">
          <cell r="F61">
            <v>2015</v>
          </cell>
          <cell r="L61">
            <v>110.01999664306641</v>
          </cell>
          <cell r="P61" t="str">
            <v>Hospitalist</v>
          </cell>
        </row>
        <row r="62">
          <cell r="F62">
            <v>2015</v>
          </cell>
          <cell r="L62">
            <v>300.97000122070313</v>
          </cell>
          <cell r="P62" t="str">
            <v>Hospitalist</v>
          </cell>
        </row>
        <row r="63">
          <cell r="F63">
            <v>2015</v>
          </cell>
          <cell r="L63">
            <v>341.29000854492188</v>
          </cell>
          <cell r="P63" t="str">
            <v>Hospitalist</v>
          </cell>
        </row>
        <row r="64">
          <cell r="F64">
            <v>2015</v>
          </cell>
          <cell r="L64">
            <v>457.26998901367188</v>
          </cell>
          <cell r="P64" t="str">
            <v>Hospitalist</v>
          </cell>
        </row>
        <row r="65">
          <cell r="F65">
            <v>2015</v>
          </cell>
          <cell r="L65">
            <v>392.92001342773438</v>
          </cell>
          <cell r="P65" t="str">
            <v>Hospitalist</v>
          </cell>
        </row>
        <row r="66">
          <cell r="F66">
            <v>2015</v>
          </cell>
          <cell r="L66">
            <v>305.6300048828125</v>
          </cell>
          <cell r="P66" t="str">
            <v>Hospitalist</v>
          </cell>
        </row>
        <row r="67">
          <cell r="F67">
            <v>2015</v>
          </cell>
          <cell r="L67">
            <v>320.55999755859375</v>
          </cell>
          <cell r="P67" t="str">
            <v>Hospitalist</v>
          </cell>
        </row>
        <row r="68">
          <cell r="F68">
            <v>2015</v>
          </cell>
          <cell r="L68">
            <v>307.26998901367188</v>
          </cell>
          <cell r="P68" t="str">
            <v>Hospitalist</v>
          </cell>
        </row>
        <row r="69">
          <cell r="F69">
            <v>2015</v>
          </cell>
          <cell r="L69">
            <v>384.75</v>
          </cell>
          <cell r="P69" t="str">
            <v>Hospitalist</v>
          </cell>
        </row>
        <row r="70">
          <cell r="F70">
            <v>2016</v>
          </cell>
          <cell r="L70">
            <v>287.17999267578125</v>
          </cell>
          <cell r="P70" t="str">
            <v>Hospitalist</v>
          </cell>
        </row>
        <row r="71">
          <cell r="F71">
            <v>2016</v>
          </cell>
          <cell r="L71">
            <v>499.44000244140625</v>
          </cell>
          <cell r="P71" t="str">
            <v>Hospitalist</v>
          </cell>
        </row>
        <row r="72">
          <cell r="F72">
            <v>2016</v>
          </cell>
          <cell r="L72">
            <v>328.10000610351563</v>
          </cell>
          <cell r="P72" t="str">
            <v>Hospitalist</v>
          </cell>
        </row>
        <row r="73">
          <cell r="F73">
            <v>2016</v>
          </cell>
          <cell r="L73">
            <v>180.80999755859375</v>
          </cell>
          <cell r="P73" t="str">
            <v>Hospitalist</v>
          </cell>
        </row>
        <row r="74">
          <cell r="F74">
            <v>2016</v>
          </cell>
          <cell r="L74">
            <v>3.9700000286102295</v>
          </cell>
          <cell r="P74" t="str">
            <v>Hospitalist</v>
          </cell>
        </row>
        <row r="75">
          <cell r="F75">
            <v>2016</v>
          </cell>
          <cell r="L75">
            <v>1.3899999856948853</v>
          </cell>
          <cell r="P75" t="str">
            <v>Hospitalist</v>
          </cell>
        </row>
        <row r="76">
          <cell r="F76">
            <v>2017</v>
          </cell>
          <cell r="L76">
            <v>37.950000762939453</v>
          </cell>
          <cell r="P76" t="str">
            <v>Hospitalist</v>
          </cell>
        </row>
        <row r="77">
          <cell r="F77">
            <v>2017</v>
          </cell>
          <cell r="L77">
            <v>206.74000549316406</v>
          </cell>
          <cell r="P77" t="str">
            <v>Hospitalist</v>
          </cell>
        </row>
        <row r="78">
          <cell r="F78">
            <v>2017</v>
          </cell>
          <cell r="L78">
            <v>168.72000122070313</v>
          </cell>
          <cell r="P78" t="str">
            <v>Hospitalist</v>
          </cell>
        </row>
        <row r="79">
          <cell r="F79">
            <v>2015</v>
          </cell>
          <cell r="L79">
            <v>113.37999725341797</v>
          </cell>
          <cell r="P79" t="str">
            <v>Hospitalist</v>
          </cell>
        </row>
        <row r="80">
          <cell r="F80">
            <v>2015</v>
          </cell>
          <cell r="L80">
            <v>-75.550003051757813</v>
          </cell>
          <cell r="P80" t="str">
            <v>Hospitalist</v>
          </cell>
        </row>
        <row r="81">
          <cell r="F81">
            <v>2016</v>
          </cell>
          <cell r="L81">
            <v>-37.830001831054688</v>
          </cell>
          <cell r="P81" t="str">
            <v>Hospitalist</v>
          </cell>
        </row>
        <row r="82">
          <cell r="F82">
            <v>2015</v>
          </cell>
          <cell r="L82">
            <v>72.639999389648438</v>
          </cell>
          <cell r="P82" t="str">
            <v>SRMC -Hospitalist Midlevels</v>
          </cell>
        </row>
        <row r="83">
          <cell r="F83">
            <v>2015</v>
          </cell>
          <cell r="L83">
            <v>119.44000244140625</v>
          </cell>
          <cell r="P83" t="str">
            <v>SRMC -Hospitalist Midlevels</v>
          </cell>
        </row>
        <row r="84">
          <cell r="F84">
            <v>2015</v>
          </cell>
          <cell r="L84">
            <v>148.27000427246094</v>
          </cell>
          <cell r="P84" t="str">
            <v>SRMC -Hospitalist Midlevels</v>
          </cell>
        </row>
        <row r="85">
          <cell r="F85">
            <v>2015</v>
          </cell>
          <cell r="L85">
            <v>196.86000061035156</v>
          </cell>
          <cell r="P85" t="str">
            <v>SRMC -Hospitalist Midlevels</v>
          </cell>
        </row>
        <row r="86">
          <cell r="F86">
            <v>2015</v>
          </cell>
          <cell r="L86">
            <v>159.02999877929688</v>
          </cell>
          <cell r="P86" t="str">
            <v>SRMC -Hospitalist Midlevels</v>
          </cell>
        </row>
        <row r="87">
          <cell r="F87">
            <v>2015</v>
          </cell>
          <cell r="L87">
            <v>69.050003051757813</v>
          </cell>
          <cell r="P87" t="str">
            <v>SRMC -Hospitalist Midlevels</v>
          </cell>
        </row>
        <row r="88">
          <cell r="F88">
            <v>2015</v>
          </cell>
          <cell r="L88">
            <v>54.860000610351563</v>
          </cell>
          <cell r="P88" t="str">
            <v>SRMC -Hospitalist Midlevels</v>
          </cell>
        </row>
        <row r="89">
          <cell r="F89">
            <v>2015</v>
          </cell>
          <cell r="L89">
            <v>138.11000061035156</v>
          </cell>
          <cell r="P89" t="str">
            <v>SRMC -Hospitalist Midlevels</v>
          </cell>
        </row>
        <row r="90">
          <cell r="F90">
            <v>2015</v>
          </cell>
          <cell r="L90">
            <v>97.930000305175781</v>
          </cell>
          <cell r="P90" t="str">
            <v>SRMC -Hospitalist Midlevels</v>
          </cell>
        </row>
        <row r="91">
          <cell r="F91">
            <v>2015</v>
          </cell>
          <cell r="L91">
            <v>72.830001831054688</v>
          </cell>
          <cell r="P91" t="str">
            <v>SRMC -Hospitalist Midlevels</v>
          </cell>
        </row>
        <row r="92">
          <cell r="F92">
            <v>2015</v>
          </cell>
          <cell r="L92">
            <v>100.18000030517578</v>
          </cell>
          <cell r="P92" t="str">
            <v>SRMC -Hospitalist Midlevels</v>
          </cell>
        </row>
        <row r="93">
          <cell r="F93">
            <v>2015</v>
          </cell>
          <cell r="L93">
            <v>89.739997863769531</v>
          </cell>
          <cell r="P93" t="str">
            <v>SRMC -Hospitalist Midlevels</v>
          </cell>
        </row>
        <row r="94">
          <cell r="F94">
            <v>2016</v>
          </cell>
          <cell r="L94">
            <v>102.73999786376953</v>
          </cell>
          <cell r="P94" t="str">
            <v>SRMC -Hospitalist Midlevels</v>
          </cell>
        </row>
        <row r="95">
          <cell r="F95">
            <v>2016</v>
          </cell>
          <cell r="L95">
            <v>31.860000610351563</v>
          </cell>
          <cell r="P95" t="str">
            <v>SRMC -Hospitalist Midlevels</v>
          </cell>
        </row>
        <row r="96">
          <cell r="F96">
            <v>2016</v>
          </cell>
          <cell r="L96">
            <v>92.919998168945313</v>
          </cell>
          <cell r="P96" t="str">
            <v>SRMC -Hospitalist Midlevels</v>
          </cell>
        </row>
        <row r="97">
          <cell r="F97">
            <v>2016</v>
          </cell>
          <cell r="L97">
            <v>74.790000915527344</v>
          </cell>
          <cell r="P97" t="str">
            <v>SRMC -Hospitalist Midlevels</v>
          </cell>
        </row>
        <row r="98">
          <cell r="F98">
            <v>2016</v>
          </cell>
          <cell r="L98">
            <v>57.189998626708984</v>
          </cell>
          <cell r="P98" t="str">
            <v>SRMC -Hospitalist Midlevels</v>
          </cell>
        </row>
        <row r="99">
          <cell r="F99">
            <v>2016</v>
          </cell>
          <cell r="L99">
            <v>119.15000152587891</v>
          </cell>
          <cell r="P99" t="str">
            <v>SRMC -Hospitalist Midlevels</v>
          </cell>
        </row>
        <row r="100">
          <cell r="F100">
            <v>2016</v>
          </cell>
          <cell r="L100">
            <v>71.589996337890625</v>
          </cell>
          <cell r="P100" t="str">
            <v>SRMC -Hospitalist Midlevels</v>
          </cell>
        </row>
        <row r="101">
          <cell r="F101">
            <v>2016</v>
          </cell>
          <cell r="L101">
            <v>151.41000366210938</v>
          </cell>
          <cell r="P101" t="str">
            <v>SRMC -Hospitalist Midlevels</v>
          </cell>
        </row>
        <row r="102">
          <cell r="F102">
            <v>2016</v>
          </cell>
          <cell r="L102">
            <v>220.41999816894531</v>
          </cell>
          <cell r="P102" t="str">
            <v>SRMC -Hospitalist Midlevels</v>
          </cell>
        </row>
        <row r="103">
          <cell r="F103">
            <v>2016</v>
          </cell>
          <cell r="L103">
            <v>85.029998779296875</v>
          </cell>
          <cell r="P103" t="str">
            <v>SRMC -Hospitalist Midlevels</v>
          </cell>
        </row>
        <row r="104">
          <cell r="F104">
            <v>2016</v>
          </cell>
          <cell r="L104">
            <v>157.36000061035156</v>
          </cell>
          <cell r="P104" t="str">
            <v>SRMC -Hospitalist Midlevels</v>
          </cell>
        </row>
        <row r="105">
          <cell r="F105">
            <v>2016</v>
          </cell>
          <cell r="L105">
            <v>144.39999389648438</v>
          </cell>
          <cell r="P105" t="str">
            <v>SRMC -Hospitalist Midlevels</v>
          </cell>
        </row>
        <row r="106">
          <cell r="F106">
            <v>2017</v>
          </cell>
          <cell r="L106">
            <v>128.25</v>
          </cell>
          <cell r="P106" t="str">
            <v>SRMC -Hospitalist Midlevels</v>
          </cell>
        </row>
        <row r="107">
          <cell r="F107">
            <v>2017</v>
          </cell>
          <cell r="L107">
            <v>109.80000305175781</v>
          </cell>
          <cell r="P107" t="str">
            <v>SRMC -Hospitalist Midlevels</v>
          </cell>
        </row>
        <row r="108">
          <cell r="F108">
            <v>2017</v>
          </cell>
          <cell r="L108">
            <v>139.10000610351563</v>
          </cell>
          <cell r="P108" t="str">
            <v>SRMC -Hospitalist Midlevels</v>
          </cell>
        </row>
        <row r="109">
          <cell r="F109">
            <v>2017</v>
          </cell>
          <cell r="L109">
            <v>39.25</v>
          </cell>
          <cell r="P109" t="str">
            <v>SRMC -Hospitalist Midlevels</v>
          </cell>
        </row>
        <row r="110">
          <cell r="F110">
            <v>2017</v>
          </cell>
          <cell r="L110">
            <v>75.389999389648438</v>
          </cell>
          <cell r="P110" t="str">
            <v>SRMC -Hospitalist Midlevels</v>
          </cell>
        </row>
        <row r="111">
          <cell r="F111">
            <v>2017</v>
          </cell>
          <cell r="L111">
            <v>54.810001373291016</v>
          </cell>
          <cell r="P111" t="str">
            <v>SRMC -Hospitalist Midlevels</v>
          </cell>
        </row>
        <row r="112">
          <cell r="F112">
            <v>2015</v>
          </cell>
          <cell r="L112">
            <v>18.450000762939453</v>
          </cell>
          <cell r="P112" t="str">
            <v>NEPHROLOGY</v>
          </cell>
        </row>
        <row r="113">
          <cell r="F113">
            <v>2015</v>
          </cell>
          <cell r="L113">
            <v>18.309999465942383</v>
          </cell>
          <cell r="P113" t="str">
            <v>NEPHROLOGY</v>
          </cell>
        </row>
        <row r="114">
          <cell r="F114">
            <v>2015</v>
          </cell>
          <cell r="L114">
            <v>99.55999755859375</v>
          </cell>
          <cell r="P114" t="str">
            <v>NEPHROLOGY</v>
          </cell>
        </row>
        <row r="115">
          <cell r="F115">
            <v>2015</v>
          </cell>
          <cell r="L115">
            <v>45.220001220703125</v>
          </cell>
          <cell r="P115" t="str">
            <v>NEPHROLOGY</v>
          </cell>
        </row>
        <row r="116">
          <cell r="F116">
            <v>2015</v>
          </cell>
          <cell r="L116">
            <v>54.840000152587891</v>
          </cell>
          <cell r="P116" t="str">
            <v>NEPHROLOGY</v>
          </cell>
        </row>
        <row r="117">
          <cell r="F117">
            <v>2015</v>
          </cell>
          <cell r="L117">
            <v>17.219999313354492</v>
          </cell>
          <cell r="P117" t="str">
            <v>NEPHROLOGY</v>
          </cell>
        </row>
        <row r="118">
          <cell r="F118">
            <v>2015</v>
          </cell>
          <cell r="L118">
            <v>41.490001678466797</v>
          </cell>
          <cell r="P118" t="str">
            <v>NEPHROLOGY</v>
          </cell>
        </row>
        <row r="119">
          <cell r="F119">
            <v>2015</v>
          </cell>
          <cell r="L119">
            <v>39.549999237060547</v>
          </cell>
          <cell r="P119" t="str">
            <v>NEPHROLOGY</v>
          </cell>
        </row>
        <row r="120">
          <cell r="F120">
            <v>2015</v>
          </cell>
          <cell r="L120">
            <v>38.639999389648438</v>
          </cell>
          <cell r="P120" t="str">
            <v>NEPHROLOGY</v>
          </cell>
        </row>
        <row r="121">
          <cell r="F121">
            <v>2016</v>
          </cell>
          <cell r="L121">
            <v>4.940000057220459</v>
          </cell>
          <cell r="P121" t="str">
            <v>NEPHROLOGY</v>
          </cell>
        </row>
        <row r="122">
          <cell r="F122">
            <v>2016</v>
          </cell>
          <cell r="L122">
            <v>6.9699997901916504</v>
          </cell>
          <cell r="P122" t="str">
            <v>NEPHROLOGY</v>
          </cell>
        </row>
        <row r="123">
          <cell r="F123">
            <v>2016</v>
          </cell>
          <cell r="L123">
            <v>38.409999847412109</v>
          </cell>
          <cell r="P123" t="str">
            <v>NEPHROLOGY</v>
          </cell>
        </row>
        <row r="124">
          <cell r="F124">
            <v>2016</v>
          </cell>
          <cell r="L124">
            <v>47.25</v>
          </cell>
          <cell r="P124" t="str">
            <v>NEPHROLOGY</v>
          </cell>
        </row>
        <row r="125">
          <cell r="F125">
            <v>2016</v>
          </cell>
          <cell r="L125">
            <v>22.129999160766602</v>
          </cell>
          <cell r="P125" t="str">
            <v>NEPHROLOGY</v>
          </cell>
        </row>
        <row r="126">
          <cell r="F126">
            <v>2016</v>
          </cell>
          <cell r="L126">
            <v>34.979999542236328</v>
          </cell>
          <cell r="P126" t="str">
            <v>NEPHROLOGY</v>
          </cell>
        </row>
        <row r="127">
          <cell r="F127">
            <v>2016</v>
          </cell>
          <cell r="L127">
            <v>91.839996337890625</v>
          </cell>
          <cell r="P127" t="str">
            <v>NEPHROLOGY</v>
          </cell>
        </row>
        <row r="128">
          <cell r="F128">
            <v>2016</v>
          </cell>
          <cell r="L128">
            <v>54.849998474121094</v>
          </cell>
          <cell r="P128" t="str">
            <v>NEPHROLOGY</v>
          </cell>
        </row>
        <row r="129">
          <cell r="F129">
            <v>2016</v>
          </cell>
          <cell r="L129">
            <v>5.059999942779541</v>
          </cell>
          <cell r="P129" t="str">
            <v>NEPHROLOGY</v>
          </cell>
        </row>
        <row r="130">
          <cell r="F130">
            <v>2016</v>
          </cell>
          <cell r="L130">
            <v>76.959999084472656</v>
          </cell>
          <cell r="P130" t="str">
            <v>NEPHROLOGY</v>
          </cell>
        </row>
        <row r="131">
          <cell r="F131">
            <v>2016</v>
          </cell>
          <cell r="L131">
            <v>42.139999389648438</v>
          </cell>
          <cell r="P131" t="str">
            <v>NEPHROLOGY</v>
          </cell>
        </row>
        <row r="132">
          <cell r="F132">
            <v>2016</v>
          </cell>
          <cell r="L132">
            <v>35.869998931884766</v>
          </cell>
          <cell r="P132" t="str">
            <v>NEPHROLOGY</v>
          </cell>
        </row>
        <row r="133">
          <cell r="F133">
            <v>2017</v>
          </cell>
          <cell r="L133">
            <v>35.549999237060547</v>
          </cell>
          <cell r="P133" t="str">
            <v>NEPHROLOGY</v>
          </cell>
        </row>
        <row r="134">
          <cell r="F134">
            <v>2017</v>
          </cell>
          <cell r="L134">
            <v>53.700000762939453</v>
          </cell>
          <cell r="P134" t="str">
            <v>NEPHROLOGY</v>
          </cell>
        </row>
        <row r="135">
          <cell r="F135">
            <v>2017</v>
          </cell>
          <cell r="L135">
            <v>46.040000915527344</v>
          </cell>
          <cell r="P135" t="str">
            <v>NEPHROLOGY</v>
          </cell>
        </row>
        <row r="136">
          <cell r="F136">
            <v>2017</v>
          </cell>
          <cell r="L136">
            <v>27.059999465942383</v>
          </cell>
          <cell r="P136" t="str">
            <v>NEPHROLOGY</v>
          </cell>
        </row>
        <row r="137">
          <cell r="F137">
            <v>2017</v>
          </cell>
          <cell r="L137">
            <v>33.5</v>
          </cell>
          <cell r="P137" t="str">
            <v>NEPHROLOGY</v>
          </cell>
        </row>
        <row r="138">
          <cell r="F138">
            <v>2015</v>
          </cell>
          <cell r="L138">
            <v>154.35000610351563</v>
          </cell>
          <cell r="P138" t="str">
            <v>Hospitalist</v>
          </cell>
        </row>
        <row r="139">
          <cell r="F139">
            <v>2015</v>
          </cell>
          <cell r="L139">
            <v>118.16000366210938</v>
          </cell>
          <cell r="P139" t="str">
            <v>Hospitalist</v>
          </cell>
        </row>
        <row r="140">
          <cell r="F140">
            <v>2015</v>
          </cell>
          <cell r="L140">
            <v>206.50999450683594</v>
          </cell>
          <cell r="P140" t="str">
            <v>Hospitalist</v>
          </cell>
        </row>
        <row r="141">
          <cell r="F141">
            <v>2015</v>
          </cell>
          <cell r="L141">
            <v>274.23001098632813</v>
          </cell>
          <cell r="P141" t="str">
            <v>Hospitalist</v>
          </cell>
        </row>
        <row r="142">
          <cell r="F142">
            <v>2015</v>
          </cell>
          <cell r="L142">
            <v>234.75</v>
          </cell>
          <cell r="P142" t="str">
            <v>Hospitalist</v>
          </cell>
        </row>
        <row r="143">
          <cell r="F143">
            <v>2015</v>
          </cell>
          <cell r="L143">
            <v>210.14999389648438</v>
          </cell>
          <cell r="P143" t="str">
            <v>Hospitalist</v>
          </cell>
        </row>
        <row r="144">
          <cell r="F144">
            <v>2015</v>
          </cell>
          <cell r="L144">
            <v>315.08999633789063</v>
          </cell>
          <cell r="P144" t="str">
            <v>Hospitalist</v>
          </cell>
        </row>
        <row r="145">
          <cell r="F145">
            <v>2015</v>
          </cell>
          <cell r="L145">
            <v>120.77999877929688</v>
          </cell>
          <cell r="P145" t="str">
            <v>Hospitalist</v>
          </cell>
        </row>
        <row r="146">
          <cell r="F146">
            <v>2015</v>
          </cell>
          <cell r="L146">
            <v>290.45001220703125</v>
          </cell>
          <cell r="P146" t="str">
            <v>Hospitalist</v>
          </cell>
        </row>
        <row r="147">
          <cell r="F147">
            <v>2015</v>
          </cell>
          <cell r="L147">
            <v>214.6199951171875</v>
          </cell>
          <cell r="P147" t="str">
            <v>Hospitalist</v>
          </cell>
        </row>
        <row r="148">
          <cell r="F148">
            <v>2015</v>
          </cell>
          <cell r="L148">
            <v>141.83000183105469</v>
          </cell>
          <cell r="P148" t="str">
            <v>Hospitalist</v>
          </cell>
        </row>
        <row r="149">
          <cell r="F149">
            <v>2015</v>
          </cell>
          <cell r="L149">
            <v>314.64999389648438</v>
          </cell>
          <cell r="P149" t="str">
            <v>Hospitalist</v>
          </cell>
        </row>
        <row r="150">
          <cell r="F150">
            <v>2016</v>
          </cell>
          <cell r="L150">
            <v>168.94999694824219</v>
          </cell>
          <cell r="P150" t="str">
            <v>Hospitalist</v>
          </cell>
        </row>
        <row r="151">
          <cell r="F151">
            <v>2016</v>
          </cell>
          <cell r="L151">
            <v>115.23999786376953</v>
          </cell>
          <cell r="P151" t="str">
            <v>Hospitalist</v>
          </cell>
        </row>
        <row r="152">
          <cell r="F152">
            <v>2016</v>
          </cell>
          <cell r="L152">
            <v>188.80999755859375</v>
          </cell>
          <cell r="P152" t="str">
            <v>Hospitalist</v>
          </cell>
        </row>
        <row r="153">
          <cell r="F153">
            <v>2016</v>
          </cell>
          <cell r="L153">
            <v>147.05000305175781</v>
          </cell>
          <cell r="P153" t="str">
            <v>Hospitalist</v>
          </cell>
        </row>
        <row r="154">
          <cell r="F154">
            <v>2016</v>
          </cell>
          <cell r="L154">
            <v>153.63999938964844</v>
          </cell>
          <cell r="P154" t="str">
            <v>Hospitalist</v>
          </cell>
        </row>
        <row r="155">
          <cell r="F155">
            <v>2016</v>
          </cell>
          <cell r="L155">
            <v>240.88999938964844</v>
          </cell>
          <cell r="P155" t="str">
            <v>Hospitalist</v>
          </cell>
        </row>
        <row r="156">
          <cell r="F156">
            <v>2016</v>
          </cell>
          <cell r="L156">
            <v>181.38999938964844</v>
          </cell>
          <cell r="P156" t="str">
            <v>Hospitalist</v>
          </cell>
        </row>
        <row r="157">
          <cell r="F157">
            <v>2016</v>
          </cell>
          <cell r="L157">
            <v>134.83999633789063</v>
          </cell>
          <cell r="P157" t="str">
            <v>Hospitalist</v>
          </cell>
        </row>
        <row r="158">
          <cell r="F158">
            <v>2016</v>
          </cell>
          <cell r="L158">
            <v>165.41000366210938</v>
          </cell>
          <cell r="P158" t="str">
            <v>Hospitalist</v>
          </cell>
        </row>
        <row r="159">
          <cell r="F159">
            <v>2016</v>
          </cell>
          <cell r="L159">
            <v>178.96000671386719</v>
          </cell>
          <cell r="P159" t="str">
            <v>Hospitalist</v>
          </cell>
        </row>
        <row r="160">
          <cell r="F160">
            <v>2016</v>
          </cell>
          <cell r="L160">
            <v>141.58000183105469</v>
          </cell>
          <cell r="P160" t="str">
            <v>Hospitalist</v>
          </cell>
        </row>
        <row r="161">
          <cell r="F161">
            <v>2016</v>
          </cell>
          <cell r="L161">
            <v>97.980003356933594</v>
          </cell>
          <cell r="P161" t="str">
            <v>Hospitalist</v>
          </cell>
        </row>
        <row r="162">
          <cell r="F162">
            <v>2017</v>
          </cell>
          <cell r="L162">
            <v>178.58999633789063</v>
          </cell>
          <cell r="P162" t="str">
            <v>Hospitalist</v>
          </cell>
        </row>
        <row r="163">
          <cell r="F163">
            <v>2017</v>
          </cell>
          <cell r="L163">
            <v>105.76000213623047</v>
          </cell>
          <cell r="P163" t="str">
            <v>Hospitalist</v>
          </cell>
        </row>
        <row r="164">
          <cell r="F164">
            <v>2017</v>
          </cell>
          <cell r="L164">
            <v>38.779998779296875</v>
          </cell>
          <cell r="P164" t="str">
            <v>Hospitalist</v>
          </cell>
        </row>
        <row r="165">
          <cell r="F165">
            <v>2017</v>
          </cell>
          <cell r="L165">
            <v>160.77000427246094</v>
          </cell>
          <cell r="P165" t="str">
            <v>Hospitalist</v>
          </cell>
        </row>
        <row r="166">
          <cell r="F166">
            <v>2017</v>
          </cell>
          <cell r="L166">
            <v>44.720001220703125</v>
          </cell>
          <cell r="P166" t="str">
            <v>Hospitalist</v>
          </cell>
        </row>
        <row r="167">
          <cell r="F167">
            <v>2017</v>
          </cell>
          <cell r="L167">
            <v>60.700000762939453</v>
          </cell>
          <cell r="P167" t="str">
            <v>Hospitalist</v>
          </cell>
        </row>
        <row r="168">
          <cell r="F168">
            <v>2015</v>
          </cell>
          <cell r="L168">
            <v>160.61000061035156</v>
          </cell>
          <cell r="P168" t="str">
            <v>RHEUMATOLOGY</v>
          </cell>
        </row>
        <row r="169">
          <cell r="F169">
            <v>2015</v>
          </cell>
          <cell r="L169">
            <v>158</v>
          </cell>
          <cell r="P169" t="str">
            <v>RHEUMATOLOGY</v>
          </cell>
        </row>
        <row r="170">
          <cell r="F170">
            <v>2015</v>
          </cell>
          <cell r="L170">
            <v>61.619998931884766</v>
          </cell>
          <cell r="P170" t="str">
            <v>RHEUMATOLOGY</v>
          </cell>
        </row>
        <row r="171">
          <cell r="F171">
            <v>2015</v>
          </cell>
          <cell r="L171">
            <v>127.52999877929688</v>
          </cell>
          <cell r="P171" t="str">
            <v>RHEUMATOLOGY</v>
          </cell>
        </row>
        <row r="172">
          <cell r="F172">
            <v>2015</v>
          </cell>
          <cell r="L172">
            <v>148.83000183105469</v>
          </cell>
          <cell r="P172" t="str">
            <v>RHEUMATOLOGY</v>
          </cell>
        </row>
        <row r="173">
          <cell r="F173">
            <v>2015</v>
          </cell>
          <cell r="L173">
            <v>135.24000549316406</v>
          </cell>
          <cell r="P173" t="str">
            <v>RHEUMATOLOGY</v>
          </cell>
        </row>
        <row r="174">
          <cell r="F174">
            <v>2015</v>
          </cell>
          <cell r="L174">
            <v>103.19999694824219</v>
          </cell>
          <cell r="P174" t="str">
            <v>RHEUMATOLOGY</v>
          </cell>
        </row>
        <row r="175">
          <cell r="F175">
            <v>2015</v>
          </cell>
          <cell r="L175">
            <v>120.44999694824219</v>
          </cell>
          <cell r="P175" t="str">
            <v>RHEUMATOLOGY</v>
          </cell>
        </row>
        <row r="176">
          <cell r="F176">
            <v>2015</v>
          </cell>
          <cell r="L176">
            <v>137.22000122070313</v>
          </cell>
          <cell r="P176" t="str">
            <v>RHEUMATOLOGY</v>
          </cell>
        </row>
        <row r="177">
          <cell r="F177">
            <v>2015</v>
          </cell>
          <cell r="L177">
            <v>131.08999633789063</v>
          </cell>
          <cell r="P177" t="str">
            <v>RHEUMATOLOGY</v>
          </cell>
        </row>
        <row r="178">
          <cell r="F178">
            <v>2015</v>
          </cell>
          <cell r="L178">
            <v>93.860000610351563</v>
          </cell>
          <cell r="P178" t="str">
            <v>RHEUMATOLOGY</v>
          </cell>
        </row>
        <row r="179">
          <cell r="F179">
            <v>2015</v>
          </cell>
          <cell r="L179">
            <v>86.989997863769531</v>
          </cell>
          <cell r="P179" t="str">
            <v>RHEUMATOLOGY</v>
          </cell>
        </row>
        <row r="180">
          <cell r="F180">
            <v>2016</v>
          </cell>
          <cell r="L180">
            <v>198.28999328613281</v>
          </cell>
          <cell r="P180" t="str">
            <v>RHEUMATOLOGY</v>
          </cell>
        </row>
        <row r="181">
          <cell r="F181">
            <v>2016</v>
          </cell>
          <cell r="L181">
            <v>193.75999450683594</v>
          </cell>
          <cell r="P181" t="str">
            <v>RHEUMATOLOGY</v>
          </cell>
        </row>
        <row r="182">
          <cell r="F182">
            <v>2016</v>
          </cell>
          <cell r="L182">
            <v>143.74000549316406</v>
          </cell>
          <cell r="P182" t="str">
            <v>RHEUMATOLOGY</v>
          </cell>
        </row>
        <row r="183">
          <cell r="F183">
            <v>2016</v>
          </cell>
          <cell r="L183">
            <v>87.44000244140625</v>
          </cell>
          <cell r="P183" t="str">
            <v>RHEUMATOLOGY</v>
          </cell>
        </row>
        <row r="184">
          <cell r="F184">
            <v>2016</v>
          </cell>
          <cell r="L184">
            <v>116.84999847412109</v>
          </cell>
          <cell r="P184" t="str">
            <v>RHEUMATOLOGY</v>
          </cell>
        </row>
        <row r="185">
          <cell r="F185">
            <v>2016</v>
          </cell>
          <cell r="L185">
            <v>145.19000244140625</v>
          </cell>
          <cell r="P185" t="str">
            <v>RHEUMATOLOGY</v>
          </cell>
        </row>
        <row r="186">
          <cell r="F186">
            <v>2016</v>
          </cell>
          <cell r="L186">
            <v>164.49000549316406</v>
          </cell>
          <cell r="P186" t="str">
            <v>RHEUMATOLOGY</v>
          </cell>
        </row>
        <row r="187">
          <cell r="F187">
            <v>2016</v>
          </cell>
          <cell r="L187">
            <v>126.69000244140625</v>
          </cell>
          <cell r="P187" t="str">
            <v>RHEUMATOLOGY</v>
          </cell>
        </row>
        <row r="188">
          <cell r="F188">
            <v>2016</v>
          </cell>
          <cell r="L188">
            <v>34.650001525878906</v>
          </cell>
          <cell r="P188" t="str">
            <v>RHEUMATOLOGY</v>
          </cell>
        </row>
        <row r="189">
          <cell r="F189">
            <v>2016</v>
          </cell>
          <cell r="L189">
            <v>53.240001678466797</v>
          </cell>
          <cell r="P189" t="str">
            <v>RHEUMATOLOGY</v>
          </cell>
        </row>
        <row r="190">
          <cell r="F190">
            <v>2016</v>
          </cell>
          <cell r="L190">
            <v>78.199996948242188</v>
          </cell>
          <cell r="P190" t="str">
            <v>RHEUMATOLOGY</v>
          </cell>
        </row>
        <row r="191">
          <cell r="F191">
            <v>2016</v>
          </cell>
          <cell r="L191">
            <v>230.42999267578125</v>
          </cell>
          <cell r="P191" t="str">
            <v>RHEUMATOLOGY</v>
          </cell>
        </row>
        <row r="192">
          <cell r="F192">
            <v>2017</v>
          </cell>
          <cell r="L192">
            <v>30.690000534057617</v>
          </cell>
          <cell r="P192" t="str">
            <v>RHEUMATOLOGY</v>
          </cell>
        </row>
        <row r="193">
          <cell r="F193">
            <v>2017</v>
          </cell>
          <cell r="L193">
            <v>140.27000427246094</v>
          </cell>
          <cell r="P193" t="str">
            <v>RHEUMATOLOGY</v>
          </cell>
        </row>
        <row r="194">
          <cell r="F194">
            <v>2017</v>
          </cell>
          <cell r="L194">
            <v>3.869999885559082</v>
          </cell>
          <cell r="P194" t="str">
            <v>RHEUMATOLOGY</v>
          </cell>
        </row>
        <row r="195">
          <cell r="F195">
            <v>2017</v>
          </cell>
          <cell r="L195">
            <v>-0.93999999761581421</v>
          </cell>
          <cell r="P195" t="str">
            <v>RHEUMATOLOGY</v>
          </cell>
        </row>
        <row r="196">
          <cell r="F196">
            <v>2016</v>
          </cell>
          <cell r="L196">
            <v>0</v>
          </cell>
          <cell r="P196" t="str">
            <v>Hospitalist</v>
          </cell>
        </row>
        <row r="197">
          <cell r="F197">
            <v>2015</v>
          </cell>
          <cell r="L197">
            <v>77.080001831054688</v>
          </cell>
          <cell r="P197" t="str">
            <v>GASTROENTEROLOGY</v>
          </cell>
        </row>
        <row r="198">
          <cell r="F198">
            <v>2015</v>
          </cell>
          <cell r="L198">
            <v>72.080001831054688</v>
          </cell>
          <cell r="P198" t="str">
            <v>GASTROENTEROLOGY</v>
          </cell>
        </row>
        <row r="199">
          <cell r="F199">
            <v>2015</v>
          </cell>
          <cell r="L199">
            <v>17.239999771118164</v>
          </cell>
          <cell r="P199" t="str">
            <v>GASTROENTEROLOGY</v>
          </cell>
        </row>
        <row r="200">
          <cell r="F200">
            <v>2015</v>
          </cell>
          <cell r="L200">
            <v>4.429999828338623</v>
          </cell>
          <cell r="P200" t="str">
            <v>GASTROENTEROLOGY</v>
          </cell>
        </row>
        <row r="201">
          <cell r="F201">
            <v>2015</v>
          </cell>
          <cell r="L201">
            <v>43.130001068115234</v>
          </cell>
          <cell r="P201" t="str">
            <v>GASTROENTEROLOGY</v>
          </cell>
        </row>
        <row r="202">
          <cell r="F202">
            <v>2015</v>
          </cell>
          <cell r="L202">
            <v>34.450000762939453</v>
          </cell>
          <cell r="P202" t="str">
            <v>GASTROENTEROLOGY</v>
          </cell>
        </row>
        <row r="203">
          <cell r="F203">
            <v>2016</v>
          </cell>
          <cell r="L203">
            <v>43.790000915527344</v>
          </cell>
          <cell r="P203" t="str">
            <v>GASTROENTEROLOGY</v>
          </cell>
        </row>
        <row r="204">
          <cell r="F204">
            <v>2016</v>
          </cell>
          <cell r="L204">
            <v>68.349998474121094</v>
          </cell>
          <cell r="P204" t="str">
            <v>GASTROENTEROLOGY</v>
          </cell>
        </row>
        <row r="205">
          <cell r="F205">
            <v>2016</v>
          </cell>
          <cell r="L205">
            <v>133.5</v>
          </cell>
          <cell r="P205" t="str">
            <v>GASTROENTEROLOGY</v>
          </cell>
        </row>
        <row r="206">
          <cell r="F206">
            <v>2016</v>
          </cell>
          <cell r="L206">
            <v>4.9499998092651367</v>
          </cell>
          <cell r="P206" t="str">
            <v>GASTROENTEROLOGY</v>
          </cell>
        </row>
        <row r="207">
          <cell r="F207">
            <v>2016</v>
          </cell>
          <cell r="L207">
            <v>13.520000457763672</v>
          </cell>
          <cell r="P207" t="str">
            <v>GASTROENTEROLOGY</v>
          </cell>
        </row>
        <row r="208">
          <cell r="F208">
            <v>2016</v>
          </cell>
          <cell r="L208">
            <v>12.210000038146973</v>
          </cell>
          <cell r="P208" t="str">
            <v>GASTROENTEROLOGY</v>
          </cell>
        </row>
        <row r="209">
          <cell r="F209">
            <v>2016</v>
          </cell>
          <cell r="L209">
            <v>15.800000190734863</v>
          </cell>
          <cell r="P209" t="str">
            <v>GASTROENTEROLOGY</v>
          </cell>
        </row>
        <row r="210">
          <cell r="F210">
            <v>2016</v>
          </cell>
          <cell r="L210">
            <v>28.239999771118164</v>
          </cell>
          <cell r="P210" t="str">
            <v>GASTROENTEROLOGY</v>
          </cell>
        </row>
        <row r="211">
          <cell r="F211">
            <v>2016</v>
          </cell>
          <cell r="L211">
            <v>53.889999389648438</v>
          </cell>
          <cell r="P211" t="str">
            <v>GASTROENTEROLOGY</v>
          </cell>
        </row>
        <row r="212">
          <cell r="F212">
            <v>2016</v>
          </cell>
          <cell r="L212">
            <v>73.050003051757813</v>
          </cell>
          <cell r="P212" t="str">
            <v>GASTROENTEROLOGY</v>
          </cell>
        </row>
        <row r="213">
          <cell r="F213">
            <v>2016</v>
          </cell>
          <cell r="L213">
            <v>33.779998779296875</v>
          </cell>
          <cell r="P213" t="str">
            <v>GASTROENTEROLOGY</v>
          </cell>
        </row>
        <row r="214">
          <cell r="F214">
            <v>2017</v>
          </cell>
          <cell r="L214">
            <v>53.009998321533203</v>
          </cell>
          <cell r="P214" t="str">
            <v>GASTROENTEROLOGY</v>
          </cell>
        </row>
        <row r="215">
          <cell r="F215">
            <v>2017</v>
          </cell>
          <cell r="L215">
            <v>1.5</v>
          </cell>
          <cell r="P215" t="str">
            <v>GASTROENTEROLOGY</v>
          </cell>
        </row>
        <row r="216">
          <cell r="F216">
            <v>2017</v>
          </cell>
          <cell r="L216">
            <v>4.5</v>
          </cell>
          <cell r="P216" t="str">
            <v>GASTROENTEROLOGY</v>
          </cell>
        </row>
        <row r="217">
          <cell r="F217">
            <v>2017</v>
          </cell>
          <cell r="L217">
            <v>0</v>
          </cell>
          <cell r="P217" t="str">
            <v>GASTROENTEROLOGY</v>
          </cell>
        </row>
        <row r="218">
          <cell r="F218">
            <v>2015</v>
          </cell>
          <cell r="L218">
            <v>29.420000076293945</v>
          </cell>
          <cell r="P218" t="str">
            <v>Hospitalist</v>
          </cell>
        </row>
        <row r="219">
          <cell r="F219">
            <v>2015</v>
          </cell>
          <cell r="L219">
            <v>-23.579999923706055</v>
          </cell>
          <cell r="P219" t="str">
            <v>Hospitalist</v>
          </cell>
        </row>
        <row r="220">
          <cell r="F220">
            <v>2016</v>
          </cell>
          <cell r="L220">
            <v>-5.8400001525878906</v>
          </cell>
          <cell r="P220" t="str">
            <v>Hospitalist</v>
          </cell>
        </row>
        <row r="221">
          <cell r="F221">
            <v>2015</v>
          </cell>
          <cell r="L221">
            <v>5.2199997901916504</v>
          </cell>
          <cell r="P221" t="str">
            <v>PULMONARY/CRITICAL CARE</v>
          </cell>
        </row>
        <row r="222">
          <cell r="F222">
            <v>2015</v>
          </cell>
          <cell r="L222">
            <v>0</v>
          </cell>
          <cell r="P222" t="str">
            <v>PULMONARY/CRITICAL CARE</v>
          </cell>
        </row>
        <row r="223">
          <cell r="F223">
            <v>2015</v>
          </cell>
          <cell r="L223">
            <v>11.520000457763672</v>
          </cell>
          <cell r="P223" t="str">
            <v>PULMONARY/CRITICAL CARE</v>
          </cell>
        </row>
        <row r="224">
          <cell r="F224">
            <v>2015</v>
          </cell>
          <cell r="L224">
            <v>1.9199999570846558</v>
          </cell>
          <cell r="P224" t="str">
            <v>PULMONARY/CRITICAL CARE</v>
          </cell>
        </row>
        <row r="225">
          <cell r="F225">
            <v>2015</v>
          </cell>
          <cell r="L225">
            <v>26.440000534057617</v>
          </cell>
          <cell r="P225" t="str">
            <v>PULMONARY/CRITICAL CARE</v>
          </cell>
        </row>
        <row r="226">
          <cell r="F226">
            <v>2015</v>
          </cell>
          <cell r="L226">
            <v>66.050003051757813</v>
          </cell>
          <cell r="P226" t="str">
            <v>PULMONARY/CRITICAL CARE</v>
          </cell>
        </row>
        <row r="227">
          <cell r="F227">
            <v>2015</v>
          </cell>
          <cell r="L227">
            <v>7.7199997901916504</v>
          </cell>
          <cell r="P227" t="str">
            <v>PULMONARY/CRITICAL CARE</v>
          </cell>
        </row>
        <row r="228">
          <cell r="F228">
            <v>2016</v>
          </cell>
          <cell r="L228">
            <v>6.4699997901916504</v>
          </cell>
          <cell r="P228" t="str">
            <v>PULMONARY/CRITICAL CARE</v>
          </cell>
        </row>
        <row r="229">
          <cell r="F229">
            <v>2016</v>
          </cell>
          <cell r="L229">
            <v>8.3900003433227539</v>
          </cell>
          <cell r="P229" t="str">
            <v>PULMONARY/CRITICAL CARE</v>
          </cell>
        </row>
        <row r="230">
          <cell r="F230">
            <v>2016</v>
          </cell>
          <cell r="L230">
            <v>9.0600004196166992</v>
          </cell>
          <cell r="P230" t="str">
            <v>PULMONARY/CRITICAL CARE</v>
          </cell>
        </row>
        <row r="231">
          <cell r="F231">
            <v>2017</v>
          </cell>
          <cell r="L231">
            <v>115.18000030517578</v>
          </cell>
          <cell r="P231" t="str">
            <v>Hospitalist</v>
          </cell>
        </row>
        <row r="232">
          <cell r="F232">
            <v>2017</v>
          </cell>
          <cell r="L232">
            <v>-115.18000030517578</v>
          </cell>
          <cell r="P232" t="str">
            <v>Hospitalist</v>
          </cell>
        </row>
        <row r="233">
          <cell r="F233">
            <v>2015</v>
          </cell>
          <cell r="L233">
            <v>7.6999998092651367</v>
          </cell>
          <cell r="P233" t="str">
            <v>PULMONARY/CRITICAL CARE</v>
          </cell>
        </row>
        <row r="234">
          <cell r="F234">
            <v>2015</v>
          </cell>
          <cell r="L234">
            <v>2.5999999046325684</v>
          </cell>
          <cell r="P234" t="str">
            <v>PULMONARY/CRITICAL CARE</v>
          </cell>
        </row>
        <row r="235">
          <cell r="F235">
            <v>2015</v>
          </cell>
          <cell r="L235">
            <v>5.0999999046325684</v>
          </cell>
          <cell r="P235" t="str">
            <v>PULMONARY/CRITICAL CARE</v>
          </cell>
        </row>
        <row r="236">
          <cell r="F236">
            <v>2015</v>
          </cell>
          <cell r="L236">
            <v>10.199999809265137</v>
          </cell>
          <cell r="P236" t="str">
            <v>PULMONARY/CRITICAL CARE</v>
          </cell>
        </row>
        <row r="237">
          <cell r="F237">
            <v>2015</v>
          </cell>
          <cell r="L237">
            <v>20.299999237060547</v>
          </cell>
          <cell r="P237" t="str">
            <v>PULMONARY/CRITICAL CARE</v>
          </cell>
        </row>
        <row r="238">
          <cell r="F238">
            <v>2015</v>
          </cell>
          <cell r="L238">
            <v>7.6999998092651367</v>
          </cell>
          <cell r="P238" t="str">
            <v>PULMONARY/CRITICAL CARE</v>
          </cell>
        </row>
        <row r="239">
          <cell r="F239">
            <v>2015</v>
          </cell>
          <cell r="L239">
            <v>10.100000381469727</v>
          </cell>
          <cell r="P239" t="str">
            <v>PULMONARY/CRITICAL CARE</v>
          </cell>
        </row>
        <row r="240">
          <cell r="F240">
            <v>2015</v>
          </cell>
          <cell r="L240">
            <v>2.5</v>
          </cell>
          <cell r="P240" t="str">
            <v>PULMONARY/CRITICAL CARE</v>
          </cell>
        </row>
        <row r="241">
          <cell r="F241">
            <v>2015</v>
          </cell>
          <cell r="L241">
            <v>5.1999998092651367</v>
          </cell>
          <cell r="P241" t="str">
            <v>PULMONARY/CRITICAL CARE</v>
          </cell>
        </row>
        <row r="242">
          <cell r="F242">
            <v>2015</v>
          </cell>
          <cell r="L242">
            <v>5.0999999046325684</v>
          </cell>
          <cell r="P242" t="str">
            <v>PULMONARY/CRITICAL CARE</v>
          </cell>
        </row>
        <row r="243">
          <cell r="F243">
            <v>2016</v>
          </cell>
          <cell r="L243">
            <v>15</v>
          </cell>
          <cell r="P243" t="str">
            <v>PULMONARY/CRITICAL CARE</v>
          </cell>
        </row>
        <row r="244">
          <cell r="F244">
            <v>2016</v>
          </cell>
          <cell r="L244">
            <v>12.899999618530273</v>
          </cell>
          <cell r="P244" t="str">
            <v>PULMONARY/CRITICAL CARE</v>
          </cell>
        </row>
        <row r="245">
          <cell r="F245">
            <v>2016</v>
          </cell>
          <cell r="L245">
            <v>15.5</v>
          </cell>
          <cell r="P245" t="str">
            <v>PULMONARY/CRITICAL CARE</v>
          </cell>
        </row>
        <row r="246">
          <cell r="F246">
            <v>2016</v>
          </cell>
          <cell r="L246">
            <v>5.0999999046325684</v>
          </cell>
          <cell r="P246" t="str">
            <v>PULMONARY/CRITICAL CARE</v>
          </cell>
        </row>
        <row r="247">
          <cell r="F247">
            <v>2016</v>
          </cell>
          <cell r="L247">
            <v>7.6999998092651367</v>
          </cell>
          <cell r="P247" t="str">
            <v>PULMONARY/CRITICAL CARE</v>
          </cell>
        </row>
        <row r="248">
          <cell r="F248">
            <v>2016</v>
          </cell>
          <cell r="L248">
            <v>7.8000001907348633</v>
          </cell>
          <cell r="P248" t="str">
            <v>PULMONARY/CRITICAL CARE</v>
          </cell>
        </row>
        <row r="249">
          <cell r="F249">
            <v>2016</v>
          </cell>
          <cell r="L249">
            <v>2.5</v>
          </cell>
          <cell r="P249" t="str">
            <v>PULMONARY/CRITICAL CARE</v>
          </cell>
        </row>
        <row r="250">
          <cell r="F250">
            <v>2016</v>
          </cell>
          <cell r="L250">
            <v>23.100000381469727</v>
          </cell>
          <cell r="P250" t="str">
            <v>PULMONARY/CRITICAL CARE</v>
          </cell>
        </row>
        <row r="251">
          <cell r="F251">
            <v>2016</v>
          </cell>
          <cell r="L251">
            <v>17.899999618530273</v>
          </cell>
          <cell r="P251" t="str">
            <v>PULMONARY/CRITICAL CARE</v>
          </cell>
        </row>
        <row r="252">
          <cell r="F252">
            <v>2016</v>
          </cell>
          <cell r="L252">
            <v>2.5999999046325684</v>
          </cell>
          <cell r="P252" t="str">
            <v>PULMONARY/CRITICAL CARE</v>
          </cell>
        </row>
        <row r="253">
          <cell r="F253">
            <v>2017</v>
          </cell>
          <cell r="L253">
            <v>18</v>
          </cell>
          <cell r="P253" t="str">
            <v>PULMONARY/CRITICAL CARE</v>
          </cell>
        </row>
        <row r="254">
          <cell r="F254">
            <v>2017</v>
          </cell>
          <cell r="L254">
            <v>5.1999998092651367</v>
          </cell>
          <cell r="P254" t="str">
            <v>PULMONARY/CRITICAL CARE</v>
          </cell>
        </row>
        <row r="255">
          <cell r="F255">
            <v>2017</v>
          </cell>
          <cell r="L255">
            <v>2.5999999046325684</v>
          </cell>
          <cell r="P255" t="str">
            <v>PULMONARY/CRITICAL CARE</v>
          </cell>
        </row>
        <row r="256">
          <cell r="F256">
            <v>2017</v>
          </cell>
          <cell r="L256">
            <v>5.1999998092651367</v>
          </cell>
          <cell r="P256" t="str">
            <v>PULMONARY/CRITICAL CARE</v>
          </cell>
        </row>
        <row r="257">
          <cell r="F257">
            <v>2017</v>
          </cell>
          <cell r="L257">
            <v>15.300000190734863</v>
          </cell>
          <cell r="P257" t="str">
            <v>PULMONARY/CRITICAL CARE</v>
          </cell>
        </row>
        <row r="258">
          <cell r="F258">
            <v>2017</v>
          </cell>
          <cell r="L258">
            <v>5.1999998092651367</v>
          </cell>
          <cell r="P258" t="str">
            <v>PULMONARY/CRITICAL CARE</v>
          </cell>
        </row>
        <row r="259">
          <cell r="F259">
            <v>2015</v>
          </cell>
          <cell r="L259">
            <v>346.510009765625</v>
          </cell>
          <cell r="P259" t="str">
            <v>Hospitalist</v>
          </cell>
        </row>
        <row r="260">
          <cell r="F260">
            <v>2015</v>
          </cell>
          <cell r="L260">
            <v>228.55000305175781</v>
          </cell>
          <cell r="P260" t="str">
            <v>Hospitalist</v>
          </cell>
        </row>
        <row r="261">
          <cell r="F261">
            <v>2015</v>
          </cell>
          <cell r="L261">
            <v>237.39999389648438</v>
          </cell>
          <cell r="P261" t="str">
            <v>Hospitalist</v>
          </cell>
        </row>
        <row r="262">
          <cell r="F262">
            <v>2015</v>
          </cell>
          <cell r="L262">
            <v>323.92001342773438</v>
          </cell>
          <cell r="P262" t="str">
            <v>Hospitalist</v>
          </cell>
        </row>
        <row r="263">
          <cell r="F263">
            <v>2015</v>
          </cell>
          <cell r="L263">
            <v>1.2799999713897705</v>
          </cell>
          <cell r="P263" t="str">
            <v>Hospitalist</v>
          </cell>
        </row>
        <row r="264">
          <cell r="F264">
            <v>2015</v>
          </cell>
          <cell r="L264">
            <v>0</v>
          </cell>
          <cell r="P264" t="str">
            <v>Hospitalist</v>
          </cell>
        </row>
        <row r="265">
          <cell r="F265">
            <v>2017</v>
          </cell>
          <cell r="L265">
            <v>22.260000228881836</v>
          </cell>
          <cell r="P265" t="str">
            <v>Hospitalist</v>
          </cell>
        </row>
        <row r="266">
          <cell r="F266">
            <v>2017</v>
          </cell>
          <cell r="L266">
            <v>161.75</v>
          </cell>
          <cell r="P266" t="str">
            <v>Hospitalist</v>
          </cell>
        </row>
        <row r="267">
          <cell r="F267">
            <v>2017</v>
          </cell>
          <cell r="L267">
            <v>188.14999389648438</v>
          </cell>
          <cell r="P267" t="str">
            <v>Hospitalist</v>
          </cell>
        </row>
        <row r="268">
          <cell r="F268">
            <v>2017</v>
          </cell>
          <cell r="L268">
            <v>100.52999877929688</v>
          </cell>
          <cell r="P268" t="str">
            <v>Hospitalist</v>
          </cell>
        </row>
        <row r="269">
          <cell r="F269">
            <v>2015</v>
          </cell>
          <cell r="L269">
            <v>5.2899999618530273</v>
          </cell>
          <cell r="P269" t="str">
            <v>PULMONARY/CRITICAL CARE</v>
          </cell>
        </row>
        <row r="270">
          <cell r="F270">
            <v>2015</v>
          </cell>
          <cell r="L270">
            <v>15.140000343322754</v>
          </cell>
          <cell r="P270" t="str">
            <v>PULMONARY/CRITICAL CARE</v>
          </cell>
        </row>
        <row r="271">
          <cell r="F271">
            <v>2015</v>
          </cell>
          <cell r="L271">
            <v>128.16999816894531</v>
          </cell>
          <cell r="P271" t="str">
            <v>Hospitalist</v>
          </cell>
        </row>
        <row r="272">
          <cell r="F272">
            <v>2015</v>
          </cell>
          <cell r="L272">
            <v>268.97000122070313</v>
          </cell>
          <cell r="P272" t="str">
            <v>Hospitalist</v>
          </cell>
        </row>
        <row r="273">
          <cell r="F273">
            <v>2015</v>
          </cell>
          <cell r="L273">
            <v>453.739990234375</v>
          </cell>
          <cell r="P273" t="str">
            <v>Hospitalist</v>
          </cell>
        </row>
        <row r="274">
          <cell r="F274">
            <v>2015</v>
          </cell>
          <cell r="L274">
            <v>572.6099853515625</v>
          </cell>
          <cell r="P274" t="str">
            <v>Hospitalist</v>
          </cell>
        </row>
        <row r="275">
          <cell r="F275">
            <v>2015</v>
          </cell>
          <cell r="L275">
            <v>154.69999694824219</v>
          </cell>
          <cell r="P275" t="str">
            <v>Hospitalist</v>
          </cell>
        </row>
        <row r="276">
          <cell r="F276">
            <v>2016</v>
          </cell>
          <cell r="L276">
            <v>239.58000183105469</v>
          </cell>
          <cell r="P276" t="str">
            <v>Hospitalist</v>
          </cell>
        </row>
        <row r="277">
          <cell r="F277">
            <v>2016</v>
          </cell>
          <cell r="L277">
            <v>329.08999633789063</v>
          </cell>
          <cell r="P277" t="str">
            <v>Hospitalist</v>
          </cell>
        </row>
        <row r="278">
          <cell r="F278">
            <v>2016</v>
          </cell>
          <cell r="L278">
            <v>227.05000305175781</v>
          </cell>
          <cell r="P278" t="str">
            <v>Hospitalist</v>
          </cell>
        </row>
        <row r="279">
          <cell r="F279">
            <v>2016</v>
          </cell>
          <cell r="L279">
            <v>199.80999755859375</v>
          </cell>
          <cell r="P279" t="str">
            <v>Hospitalist</v>
          </cell>
        </row>
        <row r="280">
          <cell r="F280">
            <v>2016</v>
          </cell>
          <cell r="L280">
            <v>286.47000122070313</v>
          </cell>
          <cell r="P280" t="str">
            <v>Hospitalist</v>
          </cell>
        </row>
        <row r="281">
          <cell r="F281">
            <v>2016</v>
          </cell>
          <cell r="L281">
            <v>363.82000732421875</v>
          </cell>
          <cell r="P281" t="str">
            <v>Hospitalist</v>
          </cell>
        </row>
        <row r="282">
          <cell r="F282">
            <v>2016</v>
          </cell>
          <cell r="L282">
            <v>196.08999633789063</v>
          </cell>
          <cell r="P282" t="str">
            <v>Hospitalist</v>
          </cell>
        </row>
        <row r="283">
          <cell r="F283">
            <v>2016</v>
          </cell>
          <cell r="L283">
            <v>288.70001220703125</v>
          </cell>
          <cell r="P283" t="str">
            <v>Hospitalist</v>
          </cell>
        </row>
        <row r="284">
          <cell r="F284">
            <v>2016</v>
          </cell>
          <cell r="L284">
            <v>416.45001220703125</v>
          </cell>
          <cell r="P284" t="str">
            <v>Hospitalist</v>
          </cell>
        </row>
        <row r="285">
          <cell r="F285">
            <v>2016</v>
          </cell>
          <cell r="L285">
            <v>115.33000183105469</v>
          </cell>
          <cell r="P285" t="str">
            <v>Hospitalist</v>
          </cell>
        </row>
        <row r="286">
          <cell r="F286">
            <v>2016</v>
          </cell>
          <cell r="L286">
            <v>268.57998657226563</v>
          </cell>
          <cell r="P286" t="str">
            <v>Hospitalist</v>
          </cell>
        </row>
        <row r="287">
          <cell r="F287">
            <v>2016</v>
          </cell>
          <cell r="L287">
            <v>254.77999877929688</v>
          </cell>
          <cell r="P287" t="str">
            <v>Hospitalist</v>
          </cell>
        </row>
        <row r="288">
          <cell r="F288">
            <v>2017</v>
          </cell>
          <cell r="L288">
            <v>218.03999328613281</v>
          </cell>
          <cell r="P288" t="str">
            <v>Hospitalist</v>
          </cell>
        </row>
        <row r="289">
          <cell r="F289">
            <v>2017</v>
          </cell>
          <cell r="L289">
            <v>181.05999755859375</v>
          </cell>
          <cell r="P289" t="str">
            <v>Hospitalist</v>
          </cell>
        </row>
        <row r="290">
          <cell r="F290">
            <v>2017</v>
          </cell>
          <cell r="L290">
            <v>229.8800048828125</v>
          </cell>
          <cell r="P290" t="str">
            <v>Hospitalist</v>
          </cell>
        </row>
        <row r="291">
          <cell r="F291">
            <v>2017</v>
          </cell>
          <cell r="L291">
            <v>203.08999633789063</v>
          </cell>
          <cell r="P291" t="str">
            <v>Hospitalist</v>
          </cell>
        </row>
        <row r="292">
          <cell r="F292">
            <v>2017</v>
          </cell>
          <cell r="L292">
            <v>166.83999633789063</v>
          </cell>
          <cell r="P292" t="str">
            <v>Hospitalist</v>
          </cell>
        </row>
        <row r="293">
          <cell r="F293">
            <v>2017</v>
          </cell>
          <cell r="L293">
            <v>81.169998168945313</v>
          </cell>
          <cell r="P293" t="str">
            <v>Hospitalist</v>
          </cell>
        </row>
        <row r="294">
          <cell r="F294">
            <v>2015</v>
          </cell>
          <cell r="L294">
            <v>73</v>
          </cell>
          <cell r="P294" t="str">
            <v>Hospitalist</v>
          </cell>
        </row>
        <row r="295">
          <cell r="F295">
            <v>2015</v>
          </cell>
          <cell r="L295">
            <v>76.269996643066406</v>
          </cell>
          <cell r="P295" t="str">
            <v>Hospitalist</v>
          </cell>
        </row>
        <row r="296">
          <cell r="F296">
            <v>2015</v>
          </cell>
          <cell r="L296">
            <v>379.29000854492188</v>
          </cell>
          <cell r="P296" t="str">
            <v>Hospitalist</v>
          </cell>
        </row>
        <row r="297">
          <cell r="F297">
            <v>2015</v>
          </cell>
          <cell r="L297">
            <v>233.35000610351563</v>
          </cell>
          <cell r="P297" t="str">
            <v>Hospitalist</v>
          </cell>
        </row>
        <row r="298">
          <cell r="F298">
            <v>2015</v>
          </cell>
          <cell r="L298">
            <v>192.33999633789063</v>
          </cell>
          <cell r="P298" t="str">
            <v>Hospitalist</v>
          </cell>
        </row>
        <row r="299">
          <cell r="F299">
            <v>2016</v>
          </cell>
          <cell r="L299">
            <v>6.3400001525878906</v>
          </cell>
          <cell r="P299" t="str">
            <v>Hospitalist</v>
          </cell>
        </row>
        <row r="300">
          <cell r="F300">
            <v>2015</v>
          </cell>
          <cell r="L300">
            <v>19.219999313354492</v>
          </cell>
          <cell r="P300" t="str">
            <v>Hospitalist</v>
          </cell>
        </row>
        <row r="301">
          <cell r="F301">
            <v>2015</v>
          </cell>
          <cell r="L301">
            <v>7.9999998211860657E-2</v>
          </cell>
          <cell r="P301" t="str">
            <v>Hospitalist</v>
          </cell>
        </row>
        <row r="302">
          <cell r="F302">
            <v>2016</v>
          </cell>
          <cell r="L302">
            <v>-19.299999237060547</v>
          </cell>
          <cell r="P302" t="str">
            <v>Hospitalist</v>
          </cell>
        </row>
        <row r="303">
          <cell r="F303">
            <v>2016</v>
          </cell>
          <cell r="L303">
            <v>3.4000000953674316</v>
          </cell>
          <cell r="P303" t="str">
            <v>NEPHROLOGY</v>
          </cell>
        </row>
        <row r="304">
          <cell r="F304">
            <v>2016</v>
          </cell>
          <cell r="L304">
            <v>6.0199999809265137</v>
          </cell>
          <cell r="P304" t="str">
            <v>NEPHROLOGY</v>
          </cell>
        </row>
        <row r="305">
          <cell r="F305">
            <v>2016</v>
          </cell>
          <cell r="L305">
            <v>2.869999885559082</v>
          </cell>
          <cell r="P305" t="str">
            <v>NEPHROLOGY</v>
          </cell>
        </row>
        <row r="306">
          <cell r="F306">
            <v>2017</v>
          </cell>
          <cell r="L306">
            <v>1.3899999856948853</v>
          </cell>
          <cell r="P306" t="str">
            <v>NEPHROLOGY</v>
          </cell>
        </row>
        <row r="307">
          <cell r="F307">
            <v>2017</v>
          </cell>
          <cell r="L307">
            <v>4.3499999046325684</v>
          </cell>
          <cell r="P307" t="str">
            <v>NEPHROLOGY</v>
          </cell>
        </row>
        <row r="308">
          <cell r="F308">
            <v>2016</v>
          </cell>
          <cell r="L308">
            <v>3.1700000762939453</v>
          </cell>
          <cell r="P308" t="str">
            <v>PULMONARY/CRITICAL CARE</v>
          </cell>
        </row>
        <row r="309">
          <cell r="F309">
            <v>2016</v>
          </cell>
          <cell r="L309">
            <v>22.729999542236328</v>
          </cell>
          <cell r="P309" t="str">
            <v>PULMONARY/CRITICAL CARE</v>
          </cell>
        </row>
        <row r="310">
          <cell r="F310">
            <v>2016</v>
          </cell>
          <cell r="L310">
            <v>128.16000366210938</v>
          </cell>
          <cell r="P310" t="str">
            <v>PULMONARY/CRITICAL CARE</v>
          </cell>
        </row>
        <row r="311">
          <cell r="F311">
            <v>2017</v>
          </cell>
          <cell r="L311">
            <v>100.15000152587891</v>
          </cell>
          <cell r="P311" t="str">
            <v>PULMONARY/CRITICAL CARE</v>
          </cell>
        </row>
        <row r="312">
          <cell r="F312">
            <v>2017</v>
          </cell>
          <cell r="L312">
            <v>118.87999725341797</v>
          </cell>
          <cell r="P312" t="str">
            <v>PULMONARY/CRITICAL CARE</v>
          </cell>
        </row>
        <row r="313">
          <cell r="F313">
            <v>2017</v>
          </cell>
          <cell r="L313">
            <v>51.860000610351563</v>
          </cell>
          <cell r="P313" t="str">
            <v>PULMONARY/CRITICAL CARE</v>
          </cell>
        </row>
        <row r="314">
          <cell r="F314">
            <v>2017</v>
          </cell>
          <cell r="L314">
            <v>123.37999725341797</v>
          </cell>
          <cell r="P314" t="str">
            <v>PULMONARY/CRITICAL CARE</v>
          </cell>
        </row>
        <row r="315">
          <cell r="F315">
            <v>2017</v>
          </cell>
          <cell r="L315">
            <v>40.430000305175781</v>
          </cell>
          <cell r="P315" t="str">
            <v>PULMONARY/CRITICAL CARE</v>
          </cell>
        </row>
        <row r="316">
          <cell r="F316">
            <v>2017</v>
          </cell>
          <cell r="L316">
            <v>23.680000305175781</v>
          </cell>
          <cell r="P316" t="str">
            <v>PULMONARY/CRITICAL CARE</v>
          </cell>
        </row>
        <row r="317">
          <cell r="F317">
            <v>2015</v>
          </cell>
          <cell r="L317">
            <v>2.7799999713897705</v>
          </cell>
          <cell r="P317" t="str">
            <v>NEPHROLOGY</v>
          </cell>
        </row>
        <row r="318">
          <cell r="F318">
            <v>2015</v>
          </cell>
          <cell r="L318">
            <v>18.450000762939453</v>
          </cell>
          <cell r="P318" t="str">
            <v>NEPHROLOGY</v>
          </cell>
        </row>
        <row r="319">
          <cell r="F319">
            <v>2015</v>
          </cell>
          <cell r="L319">
            <v>21.010000228881836</v>
          </cell>
          <cell r="P319" t="str">
            <v>NEPHROLOGY</v>
          </cell>
        </row>
        <row r="320">
          <cell r="F320">
            <v>2015</v>
          </cell>
          <cell r="L320">
            <v>5.8299999237060547</v>
          </cell>
          <cell r="P320" t="str">
            <v>NEPHROLOGY</v>
          </cell>
        </row>
        <row r="321">
          <cell r="F321">
            <v>2016</v>
          </cell>
          <cell r="L321">
            <v>6.179999828338623</v>
          </cell>
          <cell r="P321" t="str">
            <v>NEPHROLOGY</v>
          </cell>
        </row>
        <row r="322">
          <cell r="F322">
            <v>2016</v>
          </cell>
          <cell r="L322">
            <v>4.7899999618530273</v>
          </cell>
          <cell r="P322" t="str">
            <v>NEPHROLOGY</v>
          </cell>
        </row>
        <row r="323">
          <cell r="F323">
            <v>2016</v>
          </cell>
          <cell r="L323">
            <v>11.659999847412109</v>
          </cell>
          <cell r="P323" t="str">
            <v>NEPHROLOGY</v>
          </cell>
        </row>
        <row r="324">
          <cell r="F324">
            <v>2015</v>
          </cell>
          <cell r="L324">
            <v>164.99000549316406</v>
          </cell>
          <cell r="P324" t="str">
            <v>PULMONARY/CRITICAL CARE</v>
          </cell>
        </row>
        <row r="325">
          <cell r="F325">
            <v>2015</v>
          </cell>
          <cell r="L325">
            <v>98.470001220703125</v>
          </cell>
          <cell r="P325" t="str">
            <v>PULMONARY/CRITICAL CARE</v>
          </cell>
        </row>
        <row r="326">
          <cell r="F326">
            <v>2015</v>
          </cell>
          <cell r="L326">
            <v>143.82000732421875</v>
          </cell>
          <cell r="P326" t="str">
            <v>PULMONARY/CRITICAL CARE</v>
          </cell>
        </row>
        <row r="327">
          <cell r="F327">
            <v>2015</v>
          </cell>
          <cell r="L327">
            <v>70.25</v>
          </cell>
          <cell r="P327" t="str">
            <v>PULMONARY/CRITICAL CARE</v>
          </cell>
        </row>
        <row r="328">
          <cell r="F328">
            <v>2015</v>
          </cell>
          <cell r="L328">
            <v>220.44999694824219</v>
          </cell>
          <cell r="P328" t="str">
            <v>PULMONARY/CRITICAL CARE</v>
          </cell>
        </row>
        <row r="329">
          <cell r="F329">
            <v>2015</v>
          </cell>
          <cell r="L329">
            <v>166.5</v>
          </cell>
          <cell r="P329" t="str">
            <v>PULMONARY/CRITICAL CARE</v>
          </cell>
        </row>
        <row r="330">
          <cell r="F330">
            <v>2015</v>
          </cell>
          <cell r="L330">
            <v>8.4200000762939453</v>
          </cell>
          <cell r="P330" t="str">
            <v>PULMONARY/CRITICAL CARE</v>
          </cell>
        </row>
        <row r="331">
          <cell r="F331">
            <v>2015</v>
          </cell>
          <cell r="L331">
            <v>152.6199951171875</v>
          </cell>
          <cell r="P331" t="str">
            <v>PULMONARY/CRITICAL CARE</v>
          </cell>
        </row>
        <row r="332">
          <cell r="F332">
            <v>2015</v>
          </cell>
          <cell r="L332">
            <v>156.21000671386719</v>
          </cell>
          <cell r="P332" t="str">
            <v>PULMONARY/CRITICAL CARE</v>
          </cell>
        </row>
        <row r="333">
          <cell r="F333">
            <v>2015</v>
          </cell>
          <cell r="L333">
            <v>195.66000366210938</v>
          </cell>
          <cell r="P333" t="str">
            <v>PULMONARY/CRITICAL CARE</v>
          </cell>
        </row>
        <row r="334">
          <cell r="F334">
            <v>2015</v>
          </cell>
          <cell r="L334">
            <v>102.63999938964844</v>
          </cell>
          <cell r="P334" t="str">
            <v>PULMONARY/CRITICAL CARE</v>
          </cell>
        </row>
        <row r="335">
          <cell r="F335">
            <v>2015</v>
          </cell>
          <cell r="L335">
            <v>225.39999389648438</v>
          </cell>
          <cell r="P335" t="str">
            <v>PULMONARY/CRITICAL CARE</v>
          </cell>
        </row>
        <row r="336">
          <cell r="F336">
            <v>2016</v>
          </cell>
          <cell r="L336">
            <v>140.5</v>
          </cell>
          <cell r="P336" t="str">
            <v>PULMONARY/CRITICAL CARE</v>
          </cell>
        </row>
        <row r="337">
          <cell r="F337">
            <v>2016</v>
          </cell>
          <cell r="L337">
            <v>146.27000427246094</v>
          </cell>
          <cell r="P337" t="str">
            <v>PULMONARY/CRITICAL CARE</v>
          </cell>
        </row>
        <row r="338">
          <cell r="F338">
            <v>2016</v>
          </cell>
          <cell r="L338">
            <v>185.88999938964844</v>
          </cell>
          <cell r="P338" t="str">
            <v>PULMONARY/CRITICAL CARE</v>
          </cell>
        </row>
        <row r="339">
          <cell r="F339">
            <v>2016</v>
          </cell>
          <cell r="L339">
            <v>151.55000305175781</v>
          </cell>
          <cell r="P339" t="str">
            <v>PULMONARY/CRITICAL CARE</v>
          </cell>
        </row>
        <row r="340">
          <cell r="F340">
            <v>2016</v>
          </cell>
          <cell r="L340">
            <v>141.07000732421875</v>
          </cell>
          <cell r="P340" t="str">
            <v>PULMONARY/CRITICAL CARE</v>
          </cell>
        </row>
        <row r="341">
          <cell r="F341">
            <v>2016</v>
          </cell>
          <cell r="L341">
            <v>130.22000122070313</v>
          </cell>
          <cell r="P341" t="str">
            <v>PULMONARY/CRITICAL CARE</v>
          </cell>
        </row>
        <row r="342">
          <cell r="F342">
            <v>2016</v>
          </cell>
          <cell r="L342">
            <v>77.370002746582031</v>
          </cell>
          <cell r="P342" t="str">
            <v>PULMONARY/CRITICAL CARE</v>
          </cell>
        </row>
        <row r="343">
          <cell r="F343">
            <v>2016</v>
          </cell>
          <cell r="L343">
            <v>96.769996643066406</v>
          </cell>
          <cell r="P343" t="str">
            <v>PULMONARY/CRITICAL CARE</v>
          </cell>
        </row>
        <row r="344">
          <cell r="F344">
            <v>2016</v>
          </cell>
          <cell r="L344">
            <v>173.91999816894531</v>
          </cell>
          <cell r="P344" t="str">
            <v>PULMONARY/CRITICAL CARE</v>
          </cell>
        </row>
        <row r="345">
          <cell r="F345">
            <v>2016</v>
          </cell>
          <cell r="L345">
            <v>176.94000244140625</v>
          </cell>
          <cell r="P345" t="str">
            <v>PULMONARY/CRITICAL CARE</v>
          </cell>
        </row>
        <row r="346">
          <cell r="F346">
            <v>2016</v>
          </cell>
          <cell r="L346">
            <v>169.08999633789063</v>
          </cell>
          <cell r="P346" t="str">
            <v>PULMONARY/CRITICAL CARE</v>
          </cell>
        </row>
        <row r="347">
          <cell r="F347">
            <v>2016</v>
          </cell>
          <cell r="L347">
            <v>119.04000091552734</v>
          </cell>
          <cell r="P347" t="str">
            <v>PULMONARY/CRITICAL CARE</v>
          </cell>
        </row>
        <row r="348">
          <cell r="F348">
            <v>2017</v>
          </cell>
          <cell r="L348">
            <v>55</v>
          </cell>
          <cell r="P348" t="str">
            <v>PULMONARY/CRITICAL CARE</v>
          </cell>
        </row>
        <row r="349">
          <cell r="F349">
            <v>2017</v>
          </cell>
          <cell r="L349">
            <v>14.180000305175781</v>
          </cell>
          <cell r="P349" t="str">
            <v>PULMONARY/CRITICAL CARE</v>
          </cell>
        </row>
        <row r="350">
          <cell r="F350">
            <v>2017</v>
          </cell>
          <cell r="L350">
            <v>18</v>
          </cell>
          <cell r="P350" t="str">
            <v>PULMONARY/CRITICAL CARE</v>
          </cell>
        </row>
        <row r="351">
          <cell r="F351">
            <v>2017</v>
          </cell>
          <cell r="L351">
            <v>-7.6999998092651367</v>
          </cell>
          <cell r="P351" t="str">
            <v>PULMONARY/CRITICAL CARE</v>
          </cell>
        </row>
        <row r="352">
          <cell r="F352">
            <v>2017</v>
          </cell>
          <cell r="L352">
            <v>98.25</v>
          </cell>
          <cell r="P352" t="str">
            <v>PSYCHIATRY</v>
          </cell>
        </row>
        <row r="353">
          <cell r="F353">
            <v>2017</v>
          </cell>
          <cell r="L353">
            <v>10.199999809265137</v>
          </cell>
          <cell r="P353" t="str">
            <v>PSYCHIATRY</v>
          </cell>
        </row>
        <row r="354">
          <cell r="F354">
            <v>2016</v>
          </cell>
          <cell r="L354">
            <v>10.140000343322754</v>
          </cell>
          <cell r="P354" t="str">
            <v>RHEUMATOLOGY</v>
          </cell>
        </row>
        <row r="355">
          <cell r="F355">
            <v>2016</v>
          </cell>
          <cell r="L355">
            <v>20.420000076293945</v>
          </cell>
          <cell r="P355" t="str">
            <v>RHEUMATOLOGY</v>
          </cell>
        </row>
        <row r="356">
          <cell r="F356">
            <v>2016</v>
          </cell>
          <cell r="L356">
            <v>50.740001678466797</v>
          </cell>
          <cell r="P356" t="str">
            <v>RHEUMATOLOGY</v>
          </cell>
        </row>
        <row r="357">
          <cell r="F357">
            <v>2016</v>
          </cell>
          <cell r="L357">
            <v>143.94999694824219</v>
          </cell>
          <cell r="P357" t="str">
            <v>RHEUMATOLOGY</v>
          </cell>
        </row>
        <row r="358">
          <cell r="F358">
            <v>2016</v>
          </cell>
          <cell r="L358">
            <v>22.629999160766602</v>
          </cell>
          <cell r="P358" t="str">
            <v>RHEUMATOLOGY</v>
          </cell>
        </row>
        <row r="359">
          <cell r="F359">
            <v>2016</v>
          </cell>
          <cell r="L359">
            <v>32.669998168945313</v>
          </cell>
          <cell r="P359" t="str">
            <v>RHEUMATOLOGY</v>
          </cell>
        </row>
        <row r="360">
          <cell r="F360">
            <v>2016</v>
          </cell>
          <cell r="L360">
            <v>125.19999694824219</v>
          </cell>
          <cell r="P360" t="str">
            <v>RHEUMATOLOGY</v>
          </cell>
        </row>
        <row r="361">
          <cell r="F361">
            <v>2016</v>
          </cell>
          <cell r="L361">
            <v>128.69999694824219</v>
          </cell>
          <cell r="P361" t="str">
            <v>RHEUMATOLOGY</v>
          </cell>
        </row>
        <row r="362">
          <cell r="F362">
            <v>2016</v>
          </cell>
          <cell r="L362">
            <v>66.029998779296875</v>
          </cell>
          <cell r="P362" t="str">
            <v>RHEUMATOLOGY</v>
          </cell>
        </row>
        <row r="363">
          <cell r="F363">
            <v>2016</v>
          </cell>
          <cell r="L363">
            <v>71.629997253417969</v>
          </cell>
          <cell r="P363" t="str">
            <v>RHEUMATOLOGY</v>
          </cell>
        </row>
        <row r="364">
          <cell r="F364">
            <v>2017</v>
          </cell>
          <cell r="L364">
            <v>71.919998168945313</v>
          </cell>
          <cell r="P364" t="str">
            <v>RHEUMATOLOGY</v>
          </cell>
        </row>
        <row r="365">
          <cell r="F365">
            <v>2017</v>
          </cell>
          <cell r="L365">
            <v>68.110000610351563</v>
          </cell>
          <cell r="P365" t="str">
            <v>RHEUMATOLOGY</v>
          </cell>
        </row>
        <row r="366">
          <cell r="F366">
            <v>2017</v>
          </cell>
          <cell r="L366">
            <v>67.790000915527344</v>
          </cell>
          <cell r="P366" t="str">
            <v>RHEUMATOLOGY</v>
          </cell>
        </row>
        <row r="367">
          <cell r="F367">
            <v>2017</v>
          </cell>
          <cell r="L367">
            <v>55.970001220703125</v>
          </cell>
          <cell r="P367" t="str">
            <v>RHEUMATOLOGY</v>
          </cell>
        </row>
        <row r="368">
          <cell r="F368">
            <v>2017</v>
          </cell>
          <cell r="L368">
            <v>72.349998474121094</v>
          </cell>
          <cell r="P368" t="str">
            <v>RHEUMATOLOGY</v>
          </cell>
        </row>
        <row r="369">
          <cell r="F369">
            <v>2017</v>
          </cell>
          <cell r="L369">
            <v>51.939998626708984</v>
          </cell>
          <cell r="P369" t="str">
            <v>RHEUMATOLOGY</v>
          </cell>
        </row>
        <row r="370">
          <cell r="F370">
            <v>2017</v>
          </cell>
          <cell r="L370">
            <v>50.180000305175781</v>
          </cell>
          <cell r="P370" t="str">
            <v>RHEUMATOLOGY</v>
          </cell>
        </row>
        <row r="371">
          <cell r="F371">
            <v>2017</v>
          </cell>
          <cell r="L371">
            <v>93.790000915527344</v>
          </cell>
          <cell r="P371" t="str">
            <v>RHEUMATOLOGY</v>
          </cell>
        </row>
        <row r="372">
          <cell r="F372">
            <v>2017</v>
          </cell>
          <cell r="L372">
            <v>85.349998474121094</v>
          </cell>
          <cell r="P372" t="str">
            <v>RHEUMATOLOGY</v>
          </cell>
        </row>
        <row r="373">
          <cell r="F373">
            <v>2017</v>
          </cell>
          <cell r="L373">
            <v>79.650001525878906</v>
          </cell>
          <cell r="P373" t="str">
            <v>RHEUMATOLOGY</v>
          </cell>
        </row>
        <row r="374">
          <cell r="F374">
            <v>2017</v>
          </cell>
          <cell r="L374">
            <v>56.779998779296875</v>
          </cell>
          <cell r="P374" t="str">
            <v>RHEUMATOLOGY</v>
          </cell>
        </row>
        <row r="375">
          <cell r="F375">
            <v>2017</v>
          </cell>
          <cell r="L375">
            <v>74.379997253417969</v>
          </cell>
          <cell r="P375" t="str">
            <v>RHEUMATOLOGY</v>
          </cell>
        </row>
        <row r="376">
          <cell r="F376">
            <v>2015</v>
          </cell>
          <cell r="L376">
            <v>39.419998168945313</v>
          </cell>
          <cell r="P376" t="str">
            <v>RHEUMATOLOGY</v>
          </cell>
        </row>
        <row r="377">
          <cell r="F377">
            <v>2015</v>
          </cell>
          <cell r="L377">
            <v>87.870002746582031</v>
          </cell>
          <cell r="P377" t="str">
            <v>RHEUMATOLOGY</v>
          </cell>
        </row>
        <row r="378">
          <cell r="F378">
            <v>2015</v>
          </cell>
          <cell r="L378">
            <v>56.110000610351563</v>
          </cell>
          <cell r="P378" t="str">
            <v>RHEUMATOLOGY</v>
          </cell>
        </row>
        <row r="379">
          <cell r="F379">
            <v>2015</v>
          </cell>
          <cell r="L379">
            <v>75.769996643066406</v>
          </cell>
          <cell r="P379" t="str">
            <v>RHEUMATOLOGY</v>
          </cell>
        </row>
        <row r="380">
          <cell r="F380">
            <v>2015</v>
          </cell>
          <cell r="L380">
            <v>80.980003356933594</v>
          </cell>
          <cell r="P380" t="str">
            <v>RHEUMATOLOGY</v>
          </cell>
        </row>
        <row r="381">
          <cell r="F381">
            <v>2015</v>
          </cell>
          <cell r="L381">
            <v>52.729999542236328</v>
          </cell>
          <cell r="P381" t="str">
            <v>RHEUMATOLOGY</v>
          </cell>
        </row>
        <row r="382">
          <cell r="F382">
            <v>2015</v>
          </cell>
          <cell r="L382">
            <v>35.060001373291016</v>
          </cell>
          <cell r="P382" t="str">
            <v>RHEUMATOLOGY</v>
          </cell>
        </row>
        <row r="383">
          <cell r="F383">
            <v>2015</v>
          </cell>
          <cell r="L383">
            <v>68.55999755859375</v>
          </cell>
          <cell r="P383" t="str">
            <v>RHEUMATOLOGY</v>
          </cell>
        </row>
        <row r="384">
          <cell r="F384">
            <v>2015</v>
          </cell>
          <cell r="L384">
            <v>81.260002136230469</v>
          </cell>
          <cell r="P384" t="str">
            <v>RHEUMATOLOGY</v>
          </cell>
        </row>
        <row r="385">
          <cell r="F385">
            <v>2015</v>
          </cell>
          <cell r="L385">
            <v>71.099998474121094</v>
          </cell>
          <cell r="P385" t="str">
            <v>RHEUMATOLOGY</v>
          </cell>
        </row>
        <row r="386">
          <cell r="F386">
            <v>2015</v>
          </cell>
          <cell r="L386">
            <v>74.660003662109375</v>
          </cell>
          <cell r="P386" t="str">
            <v>RHEUMATOLOGY</v>
          </cell>
        </row>
        <row r="387">
          <cell r="F387">
            <v>2015</v>
          </cell>
          <cell r="L387">
            <v>68.709999084472656</v>
          </cell>
          <cell r="P387" t="str">
            <v>RHEUMATOLOGY</v>
          </cell>
        </row>
        <row r="388">
          <cell r="F388">
            <v>2016</v>
          </cell>
          <cell r="L388">
            <v>55.209999084472656</v>
          </cell>
          <cell r="P388" t="str">
            <v>RHEUMATOLOGY</v>
          </cell>
        </row>
        <row r="389">
          <cell r="F389">
            <v>2016</v>
          </cell>
          <cell r="L389">
            <v>52.310001373291016</v>
          </cell>
          <cell r="P389" t="str">
            <v>RHEUMATOLOGY</v>
          </cell>
        </row>
        <row r="390">
          <cell r="F390">
            <v>2016</v>
          </cell>
          <cell r="L390">
            <v>58.680000305175781</v>
          </cell>
          <cell r="P390" t="str">
            <v>RHEUMATOLOGY</v>
          </cell>
        </row>
        <row r="391">
          <cell r="F391">
            <v>2016</v>
          </cell>
          <cell r="L391">
            <v>50.430000305175781</v>
          </cell>
          <cell r="P391" t="str">
            <v>RHEUMATOLOGY</v>
          </cell>
        </row>
        <row r="392">
          <cell r="F392">
            <v>2016</v>
          </cell>
          <cell r="L392">
            <v>41.819999694824219</v>
          </cell>
          <cell r="P392" t="str">
            <v>RHEUMATOLOGY</v>
          </cell>
        </row>
        <row r="393">
          <cell r="F393">
            <v>2016</v>
          </cell>
          <cell r="L393">
            <v>25.120000839233398</v>
          </cell>
          <cell r="P393" t="str">
            <v>RHEUMATOLOGY</v>
          </cell>
        </row>
        <row r="394">
          <cell r="F394">
            <v>2016</v>
          </cell>
          <cell r="L394">
            <v>77.489997863769531</v>
          </cell>
          <cell r="P394" t="str">
            <v>RHEUMATOLOGY</v>
          </cell>
        </row>
        <row r="395">
          <cell r="F395">
            <v>2016</v>
          </cell>
          <cell r="L395">
            <v>86.949996948242188</v>
          </cell>
          <cell r="P395" t="str">
            <v>RHEUMATOLOGY</v>
          </cell>
        </row>
        <row r="396">
          <cell r="F396">
            <v>2016</v>
          </cell>
          <cell r="L396">
            <v>123.38999938964844</v>
          </cell>
          <cell r="P396" t="str">
            <v>RHEUMATOLOGY</v>
          </cell>
        </row>
        <row r="397">
          <cell r="F397">
            <v>2016</v>
          </cell>
          <cell r="L397">
            <v>96.69000244140625</v>
          </cell>
          <cell r="P397" t="str">
            <v>RHEUMATOLOGY</v>
          </cell>
        </row>
        <row r="398">
          <cell r="F398">
            <v>2016</v>
          </cell>
          <cell r="L398">
            <v>113.5</v>
          </cell>
          <cell r="P398" t="str">
            <v>RHEUMATOLOGY</v>
          </cell>
        </row>
        <row r="399">
          <cell r="F399">
            <v>2016</v>
          </cell>
          <cell r="L399">
            <v>83.980003356933594</v>
          </cell>
          <cell r="P399" t="str">
            <v>RHEUMATOLOGY</v>
          </cell>
        </row>
        <row r="400">
          <cell r="F400">
            <v>2017</v>
          </cell>
          <cell r="L400">
            <v>94.830001831054688</v>
          </cell>
          <cell r="P400" t="str">
            <v>RHEUMATOLOGY</v>
          </cell>
        </row>
        <row r="401">
          <cell r="F401">
            <v>2017</v>
          </cell>
          <cell r="L401">
            <v>58.549999237060547</v>
          </cell>
          <cell r="P401" t="str">
            <v>RHEUMATOLOGY</v>
          </cell>
        </row>
        <row r="402">
          <cell r="F402">
            <v>2017</v>
          </cell>
          <cell r="L402">
            <v>66.629997253417969</v>
          </cell>
          <cell r="P402" t="str">
            <v>RHEUMATOLOGY</v>
          </cell>
        </row>
        <row r="403">
          <cell r="F403">
            <v>2017</v>
          </cell>
          <cell r="L403">
            <v>36.229999542236328</v>
          </cell>
          <cell r="P403" t="str">
            <v>RHEUMATOLOGY</v>
          </cell>
        </row>
        <row r="404">
          <cell r="F404">
            <v>2017</v>
          </cell>
          <cell r="L404">
            <v>69.19000244140625</v>
          </cell>
          <cell r="P404" t="str">
            <v>RHEUMATOLOGY</v>
          </cell>
        </row>
        <row r="405">
          <cell r="F405">
            <v>2017</v>
          </cell>
          <cell r="L405">
            <v>47.560001373291016</v>
          </cell>
          <cell r="P405" t="str">
            <v>RHEUMATOLOGY</v>
          </cell>
        </row>
        <row r="406">
          <cell r="F406">
            <v>2016</v>
          </cell>
          <cell r="L406">
            <v>10.670000076293945</v>
          </cell>
          <cell r="P406" t="str">
            <v>Family Medicine</v>
          </cell>
        </row>
        <row r="407">
          <cell r="F407">
            <v>2016</v>
          </cell>
          <cell r="L407">
            <v>3.8599998950958252</v>
          </cell>
          <cell r="P407" t="str">
            <v>Family Medicine</v>
          </cell>
        </row>
        <row r="408">
          <cell r="F408">
            <v>2016</v>
          </cell>
          <cell r="L408">
            <v>7.1399998664855957</v>
          </cell>
          <cell r="P408" t="str">
            <v>Family Medicine</v>
          </cell>
        </row>
        <row r="409">
          <cell r="F409">
            <v>2016</v>
          </cell>
          <cell r="L409">
            <v>8.3900003433227539</v>
          </cell>
          <cell r="P409" t="str">
            <v>Family Medicine</v>
          </cell>
        </row>
        <row r="410">
          <cell r="F410">
            <v>2016</v>
          </cell>
          <cell r="L410">
            <v>0</v>
          </cell>
          <cell r="P410" t="str">
            <v>Family Medicine</v>
          </cell>
        </row>
        <row r="411">
          <cell r="F411">
            <v>2016</v>
          </cell>
          <cell r="L411">
            <v>14.329999923706055</v>
          </cell>
          <cell r="P411" t="str">
            <v>Family Medicine</v>
          </cell>
        </row>
        <row r="412">
          <cell r="F412">
            <v>2017</v>
          </cell>
          <cell r="L412">
            <v>9.0600004196166992</v>
          </cell>
          <cell r="P412" t="str">
            <v>Family Medicine</v>
          </cell>
        </row>
        <row r="413">
          <cell r="F413">
            <v>2015</v>
          </cell>
          <cell r="L413">
            <v>0</v>
          </cell>
          <cell r="P413" t="str">
            <v>UNMMG Midlevel</v>
          </cell>
        </row>
        <row r="414">
          <cell r="F414">
            <v>2015</v>
          </cell>
          <cell r="L414">
            <v>241.41000366210938</v>
          </cell>
          <cell r="P414" t="str">
            <v>UNMMG Midlevel</v>
          </cell>
        </row>
        <row r="415">
          <cell r="F415">
            <v>2015</v>
          </cell>
          <cell r="L415">
            <v>192.16999816894531</v>
          </cell>
          <cell r="P415" t="str">
            <v>UNMMG Midlevel</v>
          </cell>
        </row>
        <row r="416">
          <cell r="F416">
            <v>2015</v>
          </cell>
          <cell r="L416">
            <v>210.63999938964844</v>
          </cell>
          <cell r="P416" t="str">
            <v>UNMMG Midlevel</v>
          </cell>
        </row>
        <row r="417">
          <cell r="F417">
            <v>2016</v>
          </cell>
          <cell r="L417">
            <v>103.86000061035156</v>
          </cell>
          <cell r="P417" t="str">
            <v>UNMMG Midlevel</v>
          </cell>
        </row>
        <row r="418">
          <cell r="F418">
            <v>2016</v>
          </cell>
          <cell r="L418">
            <v>168.83999633789063</v>
          </cell>
          <cell r="P418" t="str">
            <v>UNMMG Midlevel</v>
          </cell>
        </row>
        <row r="419">
          <cell r="F419">
            <v>2016</v>
          </cell>
          <cell r="L419">
            <v>177.32000732421875</v>
          </cell>
          <cell r="P419" t="str">
            <v>UNMMG Midlevel</v>
          </cell>
        </row>
        <row r="420">
          <cell r="F420">
            <v>2016</v>
          </cell>
          <cell r="L420">
            <v>13.069999694824219</v>
          </cell>
          <cell r="P420" t="str">
            <v>UNMMG Midlevel</v>
          </cell>
        </row>
        <row r="421">
          <cell r="F421">
            <v>2016</v>
          </cell>
          <cell r="L421">
            <v>22.959999084472656</v>
          </cell>
          <cell r="P421" t="str">
            <v>UNMMG Midlevel</v>
          </cell>
        </row>
        <row r="422">
          <cell r="F422">
            <v>2016</v>
          </cell>
          <cell r="L422">
            <v>213.08000183105469</v>
          </cell>
          <cell r="P422" t="str">
            <v>UNMMG Midlevel</v>
          </cell>
        </row>
        <row r="423">
          <cell r="F423">
            <v>2016</v>
          </cell>
          <cell r="L423">
            <v>0</v>
          </cell>
          <cell r="P423" t="str">
            <v>UNMMG Midlevel</v>
          </cell>
        </row>
        <row r="424">
          <cell r="F424">
            <v>2016</v>
          </cell>
          <cell r="L424">
            <v>-3.4000000953674316</v>
          </cell>
          <cell r="P424" t="str">
            <v>UNMMG Midlevel</v>
          </cell>
        </row>
        <row r="425">
          <cell r="F425">
            <v>2016</v>
          </cell>
          <cell r="L425">
            <v>0</v>
          </cell>
          <cell r="P425" t="str">
            <v>UNMMG Midlevel</v>
          </cell>
        </row>
        <row r="426">
          <cell r="F426">
            <v>2016</v>
          </cell>
          <cell r="L426">
            <v>0</v>
          </cell>
          <cell r="P426" t="str">
            <v>UNMMG Midlevel</v>
          </cell>
        </row>
        <row r="427">
          <cell r="F427">
            <v>2017</v>
          </cell>
          <cell r="L427">
            <v>14.239999771118164</v>
          </cell>
          <cell r="P427" t="str">
            <v>UNMMG Midlevel</v>
          </cell>
        </row>
        <row r="428">
          <cell r="F428">
            <v>2017</v>
          </cell>
          <cell r="L428">
            <v>38.240001678466797</v>
          </cell>
          <cell r="P428" t="str">
            <v>UNMMG Midlevel</v>
          </cell>
        </row>
        <row r="429">
          <cell r="F429">
            <v>2017</v>
          </cell>
          <cell r="L429">
            <v>78.44000244140625</v>
          </cell>
          <cell r="P429" t="str">
            <v>UNMMG Midlevel</v>
          </cell>
        </row>
        <row r="430">
          <cell r="F430">
            <v>2017</v>
          </cell>
          <cell r="L430">
            <v>24.540000915527344</v>
          </cell>
          <cell r="P430" t="str">
            <v>UNMMG Midlevel</v>
          </cell>
        </row>
        <row r="431">
          <cell r="F431">
            <v>2015</v>
          </cell>
          <cell r="L431">
            <v>92.779998779296875</v>
          </cell>
          <cell r="P431" t="str">
            <v>SRMC -Hospitalist Midlevels</v>
          </cell>
        </row>
        <row r="432">
          <cell r="F432">
            <v>2015</v>
          </cell>
          <cell r="L432">
            <v>160.63999938964844</v>
          </cell>
          <cell r="P432" t="str">
            <v>SRMC -Hospitalist Midlevels</v>
          </cell>
        </row>
        <row r="433">
          <cell r="F433">
            <v>2015</v>
          </cell>
          <cell r="L433">
            <v>147.17999267578125</v>
          </cell>
          <cell r="P433" t="str">
            <v>SRMC -Hospitalist Midlevels</v>
          </cell>
        </row>
        <row r="434">
          <cell r="F434">
            <v>2015</v>
          </cell>
          <cell r="L434">
            <v>152.69999694824219</v>
          </cell>
          <cell r="P434" t="str">
            <v>SRMC -Hospitalist Midlevels</v>
          </cell>
        </row>
        <row r="435">
          <cell r="F435">
            <v>2015</v>
          </cell>
          <cell r="L435">
            <v>99.639999389648438</v>
          </cell>
          <cell r="P435" t="str">
            <v>SRMC -Hospitalist Midlevels</v>
          </cell>
        </row>
        <row r="436">
          <cell r="F436">
            <v>2015</v>
          </cell>
          <cell r="L436">
            <v>201.77000427246094</v>
          </cell>
          <cell r="P436" t="str">
            <v>SRMC -Hospitalist Midlevels</v>
          </cell>
        </row>
        <row r="437">
          <cell r="F437">
            <v>2015</v>
          </cell>
          <cell r="L437">
            <v>160.30999755859375</v>
          </cell>
          <cell r="P437" t="str">
            <v>SRMC -Hospitalist Midlevels</v>
          </cell>
        </row>
        <row r="438">
          <cell r="F438">
            <v>2015</v>
          </cell>
          <cell r="L438">
            <v>79.110000610351563</v>
          </cell>
          <cell r="P438" t="str">
            <v>SRMC -Hospitalist Midlevels</v>
          </cell>
        </row>
        <row r="439">
          <cell r="F439">
            <v>2015</v>
          </cell>
          <cell r="L439">
            <v>175.67999267578125</v>
          </cell>
          <cell r="P439" t="str">
            <v>SRMC -Hospitalist Midlevels</v>
          </cell>
        </row>
        <row r="440">
          <cell r="F440">
            <v>2015</v>
          </cell>
          <cell r="L440">
            <v>70.760002136230469</v>
          </cell>
          <cell r="P440" t="str">
            <v>SRMC -Hospitalist Midlevels</v>
          </cell>
        </row>
        <row r="441">
          <cell r="F441">
            <v>2015</v>
          </cell>
          <cell r="L441">
            <v>88.739997863769531</v>
          </cell>
          <cell r="P441" t="str">
            <v>SRMC -Hospitalist Midlevels</v>
          </cell>
        </row>
        <row r="442">
          <cell r="F442">
            <v>2015</v>
          </cell>
          <cell r="L442">
            <v>144.83000183105469</v>
          </cell>
          <cell r="P442" t="str">
            <v>SRMC -Hospitalist Midlevels</v>
          </cell>
        </row>
        <row r="443">
          <cell r="F443">
            <v>2016</v>
          </cell>
          <cell r="L443">
            <v>102.20999908447266</v>
          </cell>
          <cell r="P443" t="str">
            <v>SRMC -Hospitalist Midlevels</v>
          </cell>
        </row>
        <row r="444">
          <cell r="F444">
            <v>2016</v>
          </cell>
          <cell r="L444">
            <v>107.86000061035156</v>
          </cell>
          <cell r="P444" t="str">
            <v>SRMC -Hospitalist Midlevels</v>
          </cell>
        </row>
        <row r="445">
          <cell r="F445">
            <v>2016</v>
          </cell>
          <cell r="L445">
            <v>147.92999267578125</v>
          </cell>
          <cell r="P445" t="str">
            <v>SRMC -Hospitalist Midlevels</v>
          </cell>
        </row>
        <row r="446">
          <cell r="F446">
            <v>2016</v>
          </cell>
          <cell r="L446">
            <v>175.5</v>
          </cell>
          <cell r="P446" t="str">
            <v>SRMC -Hospitalist Midlevels</v>
          </cell>
        </row>
        <row r="447">
          <cell r="F447">
            <v>2016</v>
          </cell>
          <cell r="L447">
            <v>17.059999465942383</v>
          </cell>
          <cell r="P447" t="str">
            <v>SRMC -Hospitalist Midlevels</v>
          </cell>
        </row>
        <row r="448">
          <cell r="F448">
            <v>2016</v>
          </cell>
          <cell r="L448">
            <v>136.07000732421875</v>
          </cell>
          <cell r="P448" t="str">
            <v>SRMC -Hospitalist Midlevels</v>
          </cell>
        </row>
        <row r="449">
          <cell r="F449">
            <v>2016</v>
          </cell>
          <cell r="L449">
            <v>116.04000091552734</v>
          </cell>
          <cell r="P449" t="str">
            <v>SRMC -Hospitalist Midlevels</v>
          </cell>
        </row>
        <row r="450">
          <cell r="F450">
            <v>2016</v>
          </cell>
          <cell r="L450">
            <v>159.72999572753906</v>
          </cell>
          <cell r="P450" t="str">
            <v>SRMC -Hospitalist Midlevels</v>
          </cell>
        </row>
        <row r="451">
          <cell r="F451">
            <v>2016</v>
          </cell>
          <cell r="L451">
            <v>154.86000061035156</v>
          </cell>
          <cell r="P451" t="str">
            <v>SRMC -Hospitalist Midlevels</v>
          </cell>
        </row>
        <row r="452">
          <cell r="F452">
            <v>2016</v>
          </cell>
          <cell r="L452">
            <v>162.6300048828125</v>
          </cell>
          <cell r="P452" t="str">
            <v>SRMC -Hospitalist Midlevels</v>
          </cell>
        </row>
        <row r="453">
          <cell r="F453">
            <v>2016</v>
          </cell>
          <cell r="L453">
            <v>157.19000244140625</v>
          </cell>
          <cell r="P453" t="str">
            <v>SRMC -Hospitalist Midlevels</v>
          </cell>
        </row>
        <row r="454">
          <cell r="F454">
            <v>2016</v>
          </cell>
          <cell r="L454">
            <v>146.53999328613281</v>
          </cell>
          <cell r="P454" t="str">
            <v>SRMC -Hospitalist Midlevels</v>
          </cell>
        </row>
        <row r="455">
          <cell r="F455">
            <v>2017</v>
          </cell>
          <cell r="L455">
            <v>193.92999267578125</v>
          </cell>
          <cell r="P455" t="str">
            <v>SRMC -Hospitalist Midlevels</v>
          </cell>
        </row>
        <row r="456">
          <cell r="F456">
            <v>2017</v>
          </cell>
          <cell r="L456">
            <v>167.22000122070313</v>
          </cell>
          <cell r="P456" t="str">
            <v>SRMC -Hospitalist Midlevels</v>
          </cell>
        </row>
        <row r="457">
          <cell r="F457">
            <v>2017</v>
          </cell>
          <cell r="L457">
            <v>84.879997253417969</v>
          </cell>
          <cell r="P457" t="str">
            <v>SRMC -Hospitalist Midlevels</v>
          </cell>
        </row>
        <row r="458">
          <cell r="F458">
            <v>2017</v>
          </cell>
          <cell r="L458">
            <v>110.72000122070313</v>
          </cell>
          <cell r="P458" t="str">
            <v>SRMC -Hospitalist Midlevels</v>
          </cell>
        </row>
        <row r="459">
          <cell r="F459">
            <v>2017</v>
          </cell>
          <cell r="L459">
            <v>55.599998474121094</v>
          </cell>
          <cell r="P459" t="str">
            <v>SRMC -Hospitalist Midlevels</v>
          </cell>
        </row>
        <row r="460">
          <cell r="F460">
            <v>2017</v>
          </cell>
          <cell r="L460">
            <v>85.300003051757813</v>
          </cell>
          <cell r="P460" t="str">
            <v>SRMC -Hospitalist Midlevels</v>
          </cell>
        </row>
        <row r="461">
          <cell r="F461">
            <v>2015</v>
          </cell>
          <cell r="L461">
            <v>103.72000122070313</v>
          </cell>
          <cell r="P461" t="str">
            <v>GASTROENTEROLOGY</v>
          </cell>
        </row>
        <row r="462">
          <cell r="F462">
            <v>2015</v>
          </cell>
          <cell r="L462">
            <v>77.510002136230469</v>
          </cell>
          <cell r="P462" t="str">
            <v>GASTROENTEROLOGY</v>
          </cell>
        </row>
        <row r="463">
          <cell r="F463">
            <v>2015</v>
          </cell>
          <cell r="L463">
            <v>0</v>
          </cell>
          <cell r="P463" t="str">
            <v>GASTROENTEROLOGY</v>
          </cell>
        </row>
        <row r="464">
          <cell r="F464">
            <v>2015</v>
          </cell>
          <cell r="L464">
            <v>8.3599996566772461</v>
          </cell>
          <cell r="P464" t="str">
            <v>GASTROENTEROLOGY</v>
          </cell>
        </row>
        <row r="465">
          <cell r="F465">
            <v>2015</v>
          </cell>
          <cell r="L465">
            <v>16.639999389648438</v>
          </cell>
          <cell r="P465" t="str">
            <v>GASTROENTEROLOGY</v>
          </cell>
        </row>
        <row r="466">
          <cell r="F466">
            <v>2015</v>
          </cell>
          <cell r="L466">
            <v>72.959999084472656</v>
          </cell>
          <cell r="P466" t="str">
            <v>GASTROENTEROLOGY</v>
          </cell>
        </row>
        <row r="467">
          <cell r="F467">
            <v>2015</v>
          </cell>
          <cell r="L467">
            <v>19.180000305175781</v>
          </cell>
          <cell r="P467" t="str">
            <v>GASTROENTEROLOGY</v>
          </cell>
        </row>
        <row r="468">
          <cell r="F468">
            <v>2016</v>
          </cell>
          <cell r="L468">
            <v>31.600000381469727</v>
          </cell>
          <cell r="P468" t="str">
            <v>GASTROENTEROLOGY</v>
          </cell>
        </row>
        <row r="469">
          <cell r="F469">
            <v>2016</v>
          </cell>
          <cell r="L469">
            <v>8.119999885559082</v>
          </cell>
          <cell r="P469" t="str">
            <v>GASTROENTEROLOGY</v>
          </cell>
        </row>
        <row r="470">
          <cell r="F470">
            <v>2017</v>
          </cell>
          <cell r="L470">
            <v>75.970001220703125</v>
          </cell>
          <cell r="P470" t="str">
            <v>GASTROENTEROLOGY</v>
          </cell>
        </row>
        <row r="471">
          <cell r="F471">
            <v>2017</v>
          </cell>
          <cell r="L471">
            <v>20.620000839233398</v>
          </cell>
          <cell r="P471" t="str">
            <v>GASTROENTEROLOGY</v>
          </cell>
        </row>
        <row r="472">
          <cell r="F472">
            <v>2017</v>
          </cell>
          <cell r="L472">
            <v>104.23999786376953</v>
          </cell>
          <cell r="P472" t="str">
            <v>GASTROENTEROLOGY</v>
          </cell>
        </row>
        <row r="473">
          <cell r="F473">
            <v>2017</v>
          </cell>
          <cell r="L473">
            <v>123.63999938964844</v>
          </cell>
          <cell r="P473" t="str">
            <v>GASTROENTEROLOGY</v>
          </cell>
        </row>
        <row r="474">
          <cell r="F474">
            <v>2016</v>
          </cell>
          <cell r="L474">
            <v>5.7399997711181641</v>
          </cell>
          <cell r="P474" t="str">
            <v>NEPHROLOGY</v>
          </cell>
        </row>
        <row r="475">
          <cell r="F475">
            <v>2016</v>
          </cell>
          <cell r="L475">
            <v>6.9600000381469727</v>
          </cell>
          <cell r="P475" t="str">
            <v>NEPHROLOGY</v>
          </cell>
        </row>
        <row r="476">
          <cell r="F476">
            <v>2016</v>
          </cell>
          <cell r="L476">
            <v>10.640000343322754</v>
          </cell>
          <cell r="P476" t="str">
            <v>NEPHROLOGY</v>
          </cell>
        </row>
        <row r="477">
          <cell r="F477">
            <v>2016</v>
          </cell>
          <cell r="L477">
            <v>23.409999847412109</v>
          </cell>
          <cell r="P477" t="str">
            <v>Hospitalist</v>
          </cell>
        </row>
        <row r="478">
          <cell r="F478">
            <v>2016</v>
          </cell>
          <cell r="L478">
            <v>11.689999580383301</v>
          </cell>
          <cell r="P478" t="str">
            <v>Hospitalist</v>
          </cell>
        </row>
        <row r="479">
          <cell r="F479">
            <v>2016</v>
          </cell>
          <cell r="L479">
            <v>15.550000190734863</v>
          </cell>
          <cell r="P479" t="str">
            <v>Hospitalist</v>
          </cell>
        </row>
        <row r="480">
          <cell r="F480">
            <v>2016</v>
          </cell>
          <cell r="L480">
            <v>41.520000457763672</v>
          </cell>
          <cell r="P480" t="str">
            <v>Hospitalist</v>
          </cell>
        </row>
        <row r="481">
          <cell r="F481">
            <v>2017</v>
          </cell>
          <cell r="L481">
            <v>86.769996643066406</v>
          </cell>
          <cell r="P481" t="str">
            <v>Hospitalist</v>
          </cell>
        </row>
        <row r="482">
          <cell r="F482">
            <v>2017</v>
          </cell>
          <cell r="L482">
            <v>27.239999771118164</v>
          </cell>
          <cell r="P482" t="str">
            <v>Hospitalist</v>
          </cell>
        </row>
        <row r="483">
          <cell r="F483">
            <v>2015</v>
          </cell>
          <cell r="L483">
            <v>10.939999580383301</v>
          </cell>
          <cell r="P483" t="str">
            <v>GASTROENTEROLOGY</v>
          </cell>
        </row>
        <row r="484">
          <cell r="F484">
            <v>2015</v>
          </cell>
          <cell r="L484">
            <v>99.5</v>
          </cell>
          <cell r="P484" t="str">
            <v>GASTROENTEROLOGY</v>
          </cell>
        </row>
        <row r="485">
          <cell r="F485">
            <v>2015</v>
          </cell>
          <cell r="L485">
            <v>65.330001831054688</v>
          </cell>
          <cell r="P485" t="str">
            <v>GASTROENTEROLOGY</v>
          </cell>
        </row>
        <row r="486">
          <cell r="F486">
            <v>2015</v>
          </cell>
          <cell r="L486">
            <v>42.669998168945313</v>
          </cell>
          <cell r="P486" t="str">
            <v>GASTROENTEROLOGY</v>
          </cell>
        </row>
        <row r="487">
          <cell r="F487">
            <v>2015</v>
          </cell>
          <cell r="L487">
            <v>0</v>
          </cell>
          <cell r="P487" t="str">
            <v>GASTROENTEROLOGY</v>
          </cell>
        </row>
        <row r="488">
          <cell r="F488">
            <v>2015</v>
          </cell>
          <cell r="L488">
            <v>-143.14999389648438</v>
          </cell>
          <cell r="P488" t="str">
            <v>GASTROENTEROLOGY</v>
          </cell>
        </row>
        <row r="489">
          <cell r="F489">
            <v>2015</v>
          </cell>
          <cell r="L489">
            <v>-2</v>
          </cell>
          <cell r="P489" t="str">
            <v>GASTROENTEROLOGY</v>
          </cell>
        </row>
        <row r="490">
          <cell r="F490">
            <v>2015</v>
          </cell>
          <cell r="L490">
            <v>-18.979999542236328</v>
          </cell>
          <cell r="P490" t="str">
            <v>GASTROENTEROLOGY</v>
          </cell>
        </row>
        <row r="491">
          <cell r="F491">
            <v>2015</v>
          </cell>
          <cell r="L491">
            <v>0</v>
          </cell>
          <cell r="P491" t="str">
            <v>GASTROENTEROLOGY</v>
          </cell>
        </row>
        <row r="492">
          <cell r="F492">
            <v>2015</v>
          </cell>
          <cell r="L492">
            <v>0</v>
          </cell>
          <cell r="P492" t="str">
            <v>GASTROENTEROLOGY</v>
          </cell>
        </row>
        <row r="493">
          <cell r="F493">
            <v>2016</v>
          </cell>
          <cell r="L493">
            <v>0</v>
          </cell>
          <cell r="P493" t="str">
            <v>GASTROENTEROLOGY</v>
          </cell>
        </row>
        <row r="494">
          <cell r="F494">
            <v>2016</v>
          </cell>
          <cell r="L494">
            <v>0</v>
          </cell>
          <cell r="P494" t="str">
            <v>GASTROENTEROLOGY</v>
          </cell>
        </row>
        <row r="495">
          <cell r="F495">
            <v>2016</v>
          </cell>
          <cell r="L495">
            <v>0</v>
          </cell>
          <cell r="P495" t="str">
            <v>GASTROENTEROLOGY</v>
          </cell>
        </row>
        <row r="496">
          <cell r="F496">
            <v>2016</v>
          </cell>
          <cell r="L496">
            <v>0</v>
          </cell>
          <cell r="P496" t="str">
            <v>GASTROENTEROLOGY</v>
          </cell>
        </row>
        <row r="497">
          <cell r="F497">
            <v>2016</v>
          </cell>
          <cell r="L497">
            <v>0</v>
          </cell>
          <cell r="P497" t="str">
            <v>GASTROENTEROLOGY</v>
          </cell>
        </row>
        <row r="498">
          <cell r="F498">
            <v>2016</v>
          </cell>
          <cell r="L498">
            <v>0</v>
          </cell>
          <cell r="P498" t="str">
            <v>GASTROENTEROLOGY</v>
          </cell>
        </row>
        <row r="499">
          <cell r="F499">
            <v>2016</v>
          </cell>
          <cell r="L499">
            <v>0</v>
          </cell>
          <cell r="P499" t="str">
            <v>GASTROENTEROLOGY</v>
          </cell>
        </row>
        <row r="500">
          <cell r="F500">
            <v>2016</v>
          </cell>
          <cell r="L500">
            <v>36.009998321533203</v>
          </cell>
          <cell r="P500" t="str">
            <v>GASTROENTEROLOGY</v>
          </cell>
        </row>
        <row r="501">
          <cell r="F501">
            <v>2017</v>
          </cell>
          <cell r="L501">
            <v>13.649999618530273</v>
          </cell>
          <cell r="P501" t="str">
            <v>GASTROENTEROLOGY</v>
          </cell>
        </row>
        <row r="502">
          <cell r="F502">
            <v>2017</v>
          </cell>
          <cell r="L502">
            <v>1.3899999856948853</v>
          </cell>
          <cell r="P502" t="str">
            <v>GASTROENTEROLOGY</v>
          </cell>
        </row>
        <row r="503">
          <cell r="F503">
            <v>2017</v>
          </cell>
          <cell r="L503">
            <v>0</v>
          </cell>
          <cell r="P503" t="str">
            <v>GASTROENTEROLOGY</v>
          </cell>
        </row>
        <row r="504">
          <cell r="F504">
            <v>2017</v>
          </cell>
          <cell r="L504">
            <v>0</v>
          </cell>
          <cell r="P504" t="str">
            <v>GASTROENTEROLOGY</v>
          </cell>
        </row>
        <row r="505">
          <cell r="F505">
            <v>2017</v>
          </cell>
          <cell r="L505">
            <v>0</v>
          </cell>
          <cell r="P505" t="str">
            <v>GASTROENTEROLOGY</v>
          </cell>
        </row>
        <row r="506">
          <cell r="F506">
            <v>2015</v>
          </cell>
          <cell r="L506">
            <v>0</v>
          </cell>
          <cell r="P506" t="str">
            <v>Hospitalist</v>
          </cell>
        </row>
        <row r="507">
          <cell r="F507">
            <v>2015</v>
          </cell>
          <cell r="L507">
            <v>75.870002746582031</v>
          </cell>
          <cell r="P507" t="str">
            <v>Hospitalist</v>
          </cell>
        </row>
        <row r="508">
          <cell r="F508">
            <v>2015</v>
          </cell>
          <cell r="L508">
            <v>40.540000915527344</v>
          </cell>
          <cell r="P508" t="str">
            <v>Hospitalist</v>
          </cell>
        </row>
        <row r="509">
          <cell r="F509">
            <v>2015</v>
          </cell>
          <cell r="L509">
            <v>38.540000915527344</v>
          </cell>
          <cell r="P509" t="str">
            <v>Hospitalist</v>
          </cell>
        </row>
        <row r="510">
          <cell r="F510">
            <v>2015</v>
          </cell>
          <cell r="L510">
            <v>37.509998321533203</v>
          </cell>
          <cell r="P510" t="str">
            <v>Hospitalist</v>
          </cell>
        </row>
        <row r="511">
          <cell r="F511">
            <v>2015</v>
          </cell>
          <cell r="L511">
            <v>74.510002136230469</v>
          </cell>
          <cell r="P511" t="str">
            <v>Hospitalist</v>
          </cell>
        </row>
        <row r="512">
          <cell r="F512">
            <v>2015</v>
          </cell>
          <cell r="L512">
            <v>46.650001525878906</v>
          </cell>
          <cell r="P512" t="str">
            <v>Hospitalist</v>
          </cell>
        </row>
        <row r="513">
          <cell r="F513">
            <v>2015</v>
          </cell>
          <cell r="L513">
            <v>61.619998931884766</v>
          </cell>
          <cell r="P513" t="str">
            <v>Hospitalist</v>
          </cell>
        </row>
        <row r="514">
          <cell r="F514">
            <v>2015</v>
          </cell>
          <cell r="L514">
            <v>54.599998474121094</v>
          </cell>
          <cell r="P514" t="str">
            <v>Hospitalist</v>
          </cell>
        </row>
        <row r="515">
          <cell r="F515">
            <v>2015</v>
          </cell>
          <cell r="L515">
            <v>42.549999237060547</v>
          </cell>
          <cell r="P515" t="str">
            <v>Hospitalist</v>
          </cell>
        </row>
        <row r="516">
          <cell r="F516">
            <v>2015</v>
          </cell>
          <cell r="L516">
            <v>12.869999885559082</v>
          </cell>
          <cell r="P516" t="str">
            <v>Hospitalist</v>
          </cell>
        </row>
        <row r="517">
          <cell r="F517">
            <v>2015</v>
          </cell>
          <cell r="L517">
            <v>0</v>
          </cell>
          <cell r="P517" t="str">
            <v>Hospitalist</v>
          </cell>
        </row>
        <row r="518">
          <cell r="F518">
            <v>2015</v>
          </cell>
          <cell r="L518">
            <v>49.650001525878906</v>
          </cell>
          <cell r="P518" t="str">
            <v>Hospitalist</v>
          </cell>
        </row>
        <row r="519">
          <cell r="F519">
            <v>2015</v>
          </cell>
          <cell r="L519">
            <v>-42.229999542236328</v>
          </cell>
          <cell r="P519" t="str">
            <v>Hospitalist</v>
          </cell>
        </row>
        <row r="520">
          <cell r="F520">
            <v>2016</v>
          </cell>
          <cell r="L520">
            <v>-7.4200000762939453</v>
          </cell>
          <cell r="P520" t="str">
            <v>Hospitalist</v>
          </cell>
        </row>
        <row r="521">
          <cell r="F521">
            <v>2015</v>
          </cell>
          <cell r="L521">
            <v>21.260000228881836</v>
          </cell>
          <cell r="P521" t="str">
            <v>Hospitalist</v>
          </cell>
        </row>
        <row r="522">
          <cell r="F522">
            <v>2015</v>
          </cell>
          <cell r="L522">
            <v>58.599998474121094</v>
          </cell>
          <cell r="P522" t="str">
            <v>Hospitalist</v>
          </cell>
        </row>
        <row r="523">
          <cell r="F523">
            <v>2015</v>
          </cell>
          <cell r="L523">
            <v>156.58999633789063</v>
          </cell>
          <cell r="P523" t="str">
            <v>Hospitalist</v>
          </cell>
        </row>
        <row r="524">
          <cell r="F524">
            <v>2015</v>
          </cell>
          <cell r="L524">
            <v>437.6099853515625</v>
          </cell>
          <cell r="P524" t="str">
            <v>Hospitalist</v>
          </cell>
        </row>
        <row r="525">
          <cell r="F525">
            <v>2015</v>
          </cell>
          <cell r="L525">
            <v>225.3699951171875</v>
          </cell>
          <cell r="P525" t="str">
            <v>Hospitalist</v>
          </cell>
        </row>
        <row r="526">
          <cell r="F526">
            <v>2015</v>
          </cell>
          <cell r="L526">
            <v>122.26000213623047</v>
          </cell>
          <cell r="P526" t="str">
            <v>Hospitalist</v>
          </cell>
        </row>
        <row r="527">
          <cell r="F527">
            <v>2015</v>
          </cell>
          <cell r="L527">
            <v>163.97999572753906</v>
          </cell>
          <cell r="P527" t="str">
            <v>Hospitalist</v>
          </cell>
        </row>
        <row r="528">
          <cell r="F528">
            <v>2015</v>
          </cell>
          <cell r="L528">
            <v>229.00999450683594</v>
          </cell>
          <cell r="P528" t="str">
            <v>Hospitalist</v>
          </cell>
        </row>
        <row r="529">
          <cell r="F529">
            <v>2015</v>
          </cell>
          <cell r="L529">
            <v>78.510002136230469</v>
          </cell>
          <cell r="P529" t="str">
            <v>Hospitalist</v>
          </cell>
        </row>
        <row r="530">
          <cell r="F530">
            <v>2015</v>
          </cell>
          <cell r="L530">
            <v>66.879997253417969</v>
          </cell>
          <cell r="P530" t="str">
            <v>Hospitalist</v>
          </cell>
        </row>
        <row r="531">
          <cell r="F531">
            <v>2016</v>
          </cell>
          <cell r="L531">
            <v>4.1999998092651367</v>
          </cell>
          <cell r="P531" t="str">
            <v>Hospitalist</v>
          </cell>
        </row>
        <row r="532">
          <cell r="F532">
            <v>2015</v>
          </cell>
          <cell r="L532">
            <v>2.5999999046325684</v>
          </cell>
          <cell r="P532" t="str">
            <v>Hospitalist</v>
          </cell>
        </row>
        <row r="533">
          <cell r="F533">
            <v>2016</v>
          </cell>
          <cell r="L533">
            <v>2.5999999046325684</v>
          </cell>
          <cell r="P533" t="str">
            <v>Hospitalist</v>
          </cell>
        </row>
        <row r="534">
          <cell r="F534">
            <v>2016</v>
          </cell>
          <cell r="L534">
            <v>5.1999998092651367</v>
          </cell>
          <cell r="P534" t="str">
            <v>Hospitalist</v>
          </cell>
        </row>
        <row r="535">
          <cell r="F535">
            <v>2016</v>
          </cell>
          <cell r="L535">
            <v>2.5</v>
          </cell>
          <cell r="P535" t="str">
            <v>Hospitalist</v>
          </cell>
        </row>
        <row r="536">
          <cell r="F536">
            <v>2016</v>
          </cell>
          <cell r="L536">
            <v>2.5</v>
          </cell>
          <cell r="P536" t="str">
            <v>Hospitalist</v>
          </cell>
        </row>
        <row r="537">
          <cell r="F537">
            <v>2016</v>
          </cell>
          <cell r="L537">
            <v>2.5</v>
          </cell>
          <cell r="P537" t="str">
            <v>Hospitalist</v>
          </cell>
        </row>
        <row r="538">
          <cell r="F538">
            <v>2016</v>
          </cell>
          <cell r="L538">
            <v>2.5</v>
          </cell>
          <cell r="P538" t="str">
            <v>Hospitalist</v>
          </cell>
        </row>
        <row r="539">
          <cell r="F539">
            <v>2016</v>
          </cell>
          <cell r="L539">
            <v>3.5</v>
          </cell>
          <cell r="P539" t="str">
            <v>Hospitalist</v>
          </cell>
        </row>
        <row r="540">
          <cell r="F540">
            <v>2016</v>
          </cell>
          <cell r="L540">
            <v>2.5999999046325684</v>
          </cell>
          <cell r="P540" t="str">
            <v>Hospitalist</v>
          </cell>
        </row>
        <row r="541">
          <cell r="F541">
            <v>2016</v>
          </cell>
          <cell r="L541">
            <v>5.1999998092651367</v>
          </cell>
          <cell r="P541" t="str">
            <v>Hospitalist</v>
          </cell>
        </row>
        <row r="542">
          <cell r="F542">
            <v>2016</v>
          </cell>
          <cell r="L542">
            <v>2.5999999046325684</v>
          </cell>
          <cell r="P542" t="str">
            <v>Hospitalist</v>
          </cell>
        </row>
        <row r="543">
          <cell r="F543">
            <v>2017</v>
          </cell>
          <cell r="L543">
            <v>2.5999999046325684</v>
          </cell>
          <cell r="P543" t="str">
            <v>Hospitalist</v>
          </cell>
        </row>
        <row r="544">
          <cell r="F544">
            <v>2017</v>
          </cell>
          <cell r="L544">
            <v>2.5</v>
          </cell>
          <cell r="P544" t="str">
            <v>Hospitalist</v>
          </cell>
        </row>
        <row r="545">
          <cell r="F545">
            <v>2017</v>
          </cell>
          <cell r="L545">
            <v>7.6999998092651367</v>
          </cell>
          <cell r="P545" t="str">
            <v>Hospitalist</v>
          </cell>
        </row>
        <row r="546">
          <cell r="F546">
            <v>2016</v>
          </cell>
          <cell r="L546">
            <v>3.9100000858306885</v>
          </cell>
          <cell r="P546" t="str">
            <v>Cardiology</v>
          </cell>
        </row>
        <row r="547">
          <cell r="F547">
            <v>2015</v>
          </cell>
          <cell r="L547">
            <v>16.469999313354492</v>
          </cell>
          <cell r="P547" t="str">
            <v>Hospitalist</v>
          </cell>
        </row>
        <row r="548">
          <cell r="F548">
            <v>2015</v>
          </cell>
          <cell r="L548">
            <v>163.02999877929688</v>
          </cell>
          <cell r="P548" t="str">
            <v>Hospitalist</v>
          </cell>
        </row>
        <row r="549">
          <cell r="F549">
            <v>2015</v>
          </cell>
          <cell r="L549">
            <v>-134.30000305175781</v>
          </cell>
          <cell r="P549" t="str">
            <v>Hospitalist</v>
          </cell>
        </row>
        <row r="550">
          <cell r="F550">
            <v>2016</v>
          </cell>
          <cell r="L550">
            <v>-45.200000762939453</v>
          </cell>
          <cell r="P550" t="str">
            <v>Hospitalist</v>
          </cell>
        </row>
        <row r="551">
          <cell r="F551">
            <v>2015</v>
          </cell>
          <cell r="L551">
            <v>437.42999267578125</v>
          </cell>
          <cell r="P551" t="str">
            <v>Cardiology</v>
          </cell>
        </row>
        <row r="552">
          <cell r="F552">
            <v>2015</v>
          </cell>
          <cell r="L552">
            <v>211.28999328613281</v>
          </cell>
          <cell r="P552" t="str">
            <v>Cardiology</v>
          </cell>
        </row>
        <row r="553">
          <cell r="F553">
            <v>2015</v>
          </cell>
          <cell r="L553">
            <v>340.489990234375</v>
          </cell>
          <cell r="P553" t="str">
            <v>Cardiology</v>
          </cell>
        </row>
        <row r="554">
          <cell r="F554">
            <v>2015</v>
          </cell>
          <cell r="L554">
            <v>438.23001098632813</v>
          </cell>
          <cell r="P554" t="str">
            <v>Cardiology</v>
          </cell>
        </row>
        <row r="555">
          <cell r="F555">
            <v>2015</v>
          </cell>
          <cell r="L555">
            <v>326.92999267578125</v>
          </cell>
          <cell r="P555" t="str">
            <v>Cardiology</v>
          </cell>
        </row>
        <row r="556">
          <cell r="F556">
            <v>2015</v>
          </cell>
          <cell r="L556">
            <v>337.30999755859375</v>
          </cell>
          <cell r="P556" t="str">
            <v>Cardiology</v>
          </cell>
        </row>
        <row r="557">
          <cell r="F557">
            <v>2015</v>
          </cell>
          <cell r="L557">
            <v>333.64999389648438</v>
          </cell>
          <cell r="P557" t="str">
            <v>Cardiology</v>
          </cell>
        </row>
        <row r="558">
          <cell r="F558">
            <v>2015</v>
          </cell>
          <cell r="L558">
            <v>385.92001342773438</v>
          </cell>
          <cell r="P558" t="str">
            <v>Cardiology</v>
          </cell>
        </row>
        <row r="559">
          <cell r="F559">
            <v>2015</v>
          </cell>
          <cell r="L559">
            <v>419.489990234375</v>
          </cell>
          <cell r="P559" t="str">
            <v>Cardiology</v>
          </cell>
        </row>
        <row r="560">
          <cell r="F560">
            <v>2015</v>
          </cell>
          <cell r="L560">
            <v>484.75</v>
          </cell>
          <cell r="P560" t="str">
            <v>Cardiology</v>
          </cell>
        </row>
        <row r="561">
          <cell r="F561">
            <v>2015</v>
          </cell>
          <cell r="L561">
            <v>350.3900146484375</v>
          </cell>
          <cell r="P561" t="str">
            <v>Cardiology</v>
          </cell>
        </row>
        <row r="562">
          <cell r="F562">
            <v>2015</v>
          </cell>
          <cell r="L562">
            <v>419.48001098632813</v>
          </cell>
          <cell r="P562" t="str">
            <v>Cardiology</v>
          </cell>
        </row>
        <row r="563">
          <cell r="F563">
            <v>2016</v>
          </cell>
          <cell r="L563">
            <v>448.8599853515625</v>
          </cell>
          <cell r="P563" t="str">
            <v>Cardiology</v>
          </cell>
        </row>
        <row r="564">
          <cell r="F564">
            <v>2016</v>
          </cell>
          <cell r="L564">
            <v>403.91000366210938</v>
          </cell>
          <cell r="P564" t="str">
            <v>Cardiology</v>
          </cell>
        </row>
        <row r="565">
          <cell r="F565">
            <v>2016</v>
          </cell>
          <cell r="L565">
            <v>328.17999267578125</v>
          </cell>
          <cell r="P565" t="str">
            <v>Cardiology</v>
          </cell>
        </row>
        <row r="566">
          <cell r="F566">
            <v>2016</v>
          </cell>
          <cell r="L566">
            <v>263.57998657226563</v>
          </cell>
          <cell r="P566" t="str">
            <v>Cardiology</v>
          </cell>
        </row>
        <row r="567">
          <cell r="F567">
            <v>2016</v>
          </cell>
          <cell r="L567">
            <v>341.5</v>
          </cell>
          <cell r="P567" t="str">
            <v>Cardiology</v>
          </cell>
        </row>
        <row r="568">
          <cell r="F568">
            <v>2016</v>
          </cell>
          <cell r="L568">
            <v>373.489990234375</v>
          </cell>
          <cell r="P568" t="str">
            <v>Cardiology</v>
          </cell>
        </row>
        <row r="569">
          <cell r="F569">
            <v>2016</v>
          </cell>
          <cell r="L569">
            <v>209.27000427246094</v>
          </cell>
          <cell r="P569" t="str">
            <v>Cardiology</v>
          </cell>
        </row>
        <row r="570">
          <cell r="F570">
            <v>2016</v>
          </cell>
          <cell r="L570">
            <v>334.17001342773438</v>
          </cell>
          <cell r="P570" t="str">
            <v>Cardiology</v>
          </cell>
        </row>
        <row r="571">
          <cell r="F571">
            <v>2016</v>
          </cell>
          <cell r="L571">
            <v>355.66000366210938</v>
          </cell>
          <cell r="P571" t="str">
            <v>Cardiology</v>
          </cell>
        </row>
        <row r="572">
          <cell r="F572">
            <v>2016</v>
          </cell>
          <cell r="L572">
            <v>747.6300048828125</v>
          </cell>
          <cell r="P572" t="str">
            <v>Cardiology</v>
          </cell>
        </row>
        <row r="573">
          <cell r="F573">
            <v>2016</v>
          </cell>
          <cell r="L573">
            <v>283.04998779296875</v>
          </cell>
          <cell r="P573" t="str">
            <v>Cardiology</v>
          </cell>
        </row>
        <row r="574">
          <cell r="F574">
            <v>2016</v>
          </cell>
          <cell r="L574">
            <v>369.33999633789063</v>
          </cell>
          <cell r="P574" t="str">
            <v>Cardiology</v>
          </cell>
        </row>
        <row r="575">
          <cell r="F575">
            <v>2017</v>
          </cell>
          <cell r="L575">
            <v>104.55000305175781</v>
          </cell>
          <cell r="P575" t="str">
            <v>Cardiology</v>
          </cell>
        </row>
        <row r="576">
          <cell r="F576">
            <v>2017</v>
          </cell>
          <cell r="L576">
            <v>92.519996643066406</v>
          </cell>
          <cell r="P576" t="str">
            <v>Cardiology</v>
          </cell>
        </row>
        <row r="577">
          <cell r="F577">
            <v>2017</v>
          </cell>
          <cell r="L577">
            <v>165.3800048828125</v>
          </cell>
          <cell r="P577" t="str">
            <v>Cardiology</v>
          </cell>
        </row>
        <row r="578">
          <cell r="F578">
            <v>2017</v>
          </cell>
          <cell r="L578">
            <v>149.25999450683594</v>
          </cell>
          <cell r="P578" t="str">
            <v>Cardiology</v>
          </cell>
        </row>
        <row r="579">
          <cell r="F579">
            <v>2017</v>
          </cell>
          <cell r="L579">
            <v>200.02000427246094</v>
          </cell>
          <cell r="P579" t="str">
            <v>Cardiology</v>
          </cell>
        </row>
        <row r="580">
          <cell r="F580">
            <v>2017</v>
          </cell>
          <cell r="L580">
            <v>161.80000305175781</v>
          </cell>
          <cell r="P580" t="str">
            <v>Cardiology</v>
          </cell>
        </row>
        <row r="581">
          <cell r="F581">
            <v>2015</v>
          </cell>
          <cell r="L581">
            <v>1.3899999856948853</v>
          </cell>
          <cell r="P581" t="str">
            <v>NEPHROLOGY</v>
          </cell>
        </row>
        <row r="582">
          <cell r="F582">
            <v>2015</v>
          </cell>
          <cell r="L582">
            <v>0</v>
          </cell>
          <cell r="P582" t="str">
            <v>NEPHROLOGY</v>
          </cell>
        </row>
        <row r="583">
          <cell r="F583">
            <v>2015</v>
          </cell>
          <cell r="L583">
            <v>8</v>
          </cell>
          <cell r="P583" t="str">
            <v>NEPHROLOGY</v>
          </cell>
        </row>
        <row r="584">
          <cell r="F584">
            <v>2016</v>
          </cell>
          <cell r="L584">
            <v>20.360000610351563</v>
          </cell>
          <cell r="P584" t="str">
            <v>PULMONARY/CRITICAL CARE</v>
          </cell>
        </row>
        <row r="585">
          <cell r="F585">
            <v>2016</v>
          </cell>
          <cell r="L585">
            <v>77.580001831054688</v>
          </cell>
          <cell r="P585" t="str">
            <v>PULMONARY/CRITICAL CARE</v>
          </cell>
        </row>
        <row r="586">
          <cell r="F586">
            <v>2015</v>
          </cell>
          <cell r="L586">
            <v>175.55999755859375</v>
          </cell>
          <cell r="P586" t="str">
            <v>Hospitalist</v>
          </cell>
        </row>
        <row r="587">
          <cell r="F587">
            <v>2015</v>
          </cell>
          <cell r="L587">
            <v>-57.349998474121094</v>
          </cell>
          <cell r="P587" t="str">
            <v>Hospitalist</v>
          </cell>
        </row>
        <row r="588">
          <cell r="F588">
            <v>2016</v>
          </cell>
          <cell r="L588">
            <v>-118.20999908447266</v>
          </cell>
          <cell r="P588" t="str">
            <v>Hospitalist</v>
          </cell>
        </row>
        <row r="589">
          <cell r="F589">
            <v>2015</v>
          </cell>
          <cell r="L589">
            <v>23.670000076293945</v>
          </cell>
          <cell r="P589" t="str">
            <v>PULMONARY/CRITICAL CARE</v>
          </cell>
        </row>
        <row r="590">
          <cell r="F590">
            <v>2015</v>
          </cell>
          <cell r="L590">
            <v>75.44000244140625</v>
          </cell>
          <cell r="P590" t="str">
            <v>PULMONARY/CRITICAL CARE</v>
          </cell>
        </row>
        <row r="591">
          <cell r="F591">
            <v>2015</v>
          </cell>
          <cell r="L591">
            <v>19.010000228881836</v>
          </cell>
          <cell r="P591" t="str">
            <v>PULMONARY/CRITICAL CARE</v>
          </cell>
        </row>
        <row r="592">
          <cell r="F592">
            <v>2015</v>
          </cell>
          <cell r="L592">
            <v>14.170000076293945</v>
          </cell>
          <cell r="P592" t="str">
            <v>PULMONARY/CRITICAL CARE</v>
          </cell>
        </row>
        <row r="593">
          <cell r="F593">
            <v>2015</v>
          </cell>
          <cell r="L593">
            <v>43.860000610351563</v>
          </cell>
          <cell r="P593" t="str">
            <v>PULMONARY/CRITICAL CARE</v>
          </cell>
        </row>
        <row r="594">
          <cell r="F594">
            <v>2015</v>
          </cell>
          <cell r="L594">
            <v>73.089996337890625</v>
          </cell>
          <cell r="P594" t="str">
            <v>PULMONARY/CRITICAL CARE</v>
          </cell>
        </row>
        <row r="595">
          <cell r="F595">
            <v>2015</v>
          </cell>
          <cell r="L595">
            <v>4.6700000762939453</v>
          </cell>
          <cell r="P595" t="str">
            <v>PULMONARY/CRITICAL CARE</v>
          </cell>
        </row>
        <row r="596">
          <cell r="F596">
            <v>2015</v>
          </cell>
          <cell r="L596">
            <v>54.419998168945313</v>
          </cell>
          <cell r="P596" t="str">
            <v>PULMONARY/CRITICAL CARE</v>
          </cell>
        </row>
        <row r="597">
          <cell r="F597">
            <v>2015</v>
          </cell>
          <cell r="L597">
            <v>41.729999542236328</v>
          </cell>
          <cell r="P597" t="str">
            <v>PULMONARY/CRITICAL CARE</v>
          </cell>
        </row>
        <row r="598">
          <cell r="F598">
            <v>2015</v>
          </cell>
          <cell r="L598">
            <v>31.739999771118164</v>
          </cell>
          <cell r="P598" t="str">
            <v>PULMONARY/CRITICAL CARE</v>
          </cell>
        </row>
        <row r="599">
          <cell r="F599">
            <v>2015</v>
          </cell>
          <cell r="L599">
            <v>44.200000762939453</v>
          </cell>
          <cell r="P599" t="str">
            <v>PULMONARY/CRITICAL CARE</v>
          </cell>
        </row>
        <row r="600">
          <cell r="F600">
            <v>2015</v>
          </cell>
          <cell r="L600">
            <v>35.740001678466797</v>
          </cell>
          <cell r="P600" t="str">
            <v>PULMONARY/CRITICAL CARE</v>
          </cell>
        </row>
        <row r="601">
          <cell r="F601">
            <v>2016</v>
          </cell>
          <cell r="L601">
            <v>37.599998474121094</v>
          </cell>
          <cell r="P601" t="str">
            <v>PULMONARY/CRITICAL CARE</v>
          </cell>
        </row>
        <row r="602">
          <cell r="F602">
            <v>2016</v>
          </cell>
          <cell r="L602">
            <v>38.779998779296875</v>
          </cell>
          <cell r="P602" t="str">
            <v>PULMONARY/CRITICAL CARE</v>
          </cell>
        </row>
        <row r="603">
          <cell r="F603">
            <v>2016</v>
          </cell>
          <cell r="L603">
            <v>29.709999084472656</v>
          </cell>
          <cell r="P603" t="str">
            <v>PULMONARY/CRITICAL CARE</v>
          </cell>
        </row>
        <row r="604">
          <cell r="F604">
            <v>2016</v>
          </cell>
          <cell r="L604">
            <v>30.590000152587891</v>
          </cell>
          <cell r="P604" t="str">
            <v>PULMONARY/CRITICAL CARE</v>
          </cell>
        </row>
        <row r="605">
          <cell r="F605">
            <v>2016</v>
          </cell>
          <cell r="L605">
            <v>63.330001831054688</v>
          </cell>
          <cell r="P605" t="str">
            <v>PULMONARY/CRITICAL CARE</v>
          </cell>
        </row>
        <row r="606">
          <cell r="F606">
            <v>2016</v>
          </cell>
          <cell r="L606">
            <v>4.820000171661377</v>
          </cell>
          <cell r="P606" t="str">
            <v>PULMONARY/CRITICAL CARE</v>
          </cell>
        </row>
        <row r="607">
          <cell r="F607">
            <v>2016</v>
          </cell>
          <cell r="L607">
            <v>34.25</v>
          </cell>
          <cell r="P607" t="str">
            <v>PULMONARY/CRITICAL CARE</v>
          </cell>
        </row>
        <row r="608">
          <cell r="F608">
            <v>2016</v>
          </cell>
          <cell r="L608">
            <v>36.229999542236328</v>
          </cell>
          <cell r="P608" t="str">
            <v>PULMONARY/CRITICAL CARE</v>
          </cell>
        </row>
        <row r="609">
          <cell r="F609">
            <v>2016</v>
          </cell>
          <cell r="L609">
            <v>68.910003662109375</v>
          </cell>
          <cell r="P609" t="str">
            <v>PULMONARY/CRITICAL CARE</v>
          </cell>
        </row>
        <row r="610">
          <cell r="F610">
            <v>2016</v>
          </cell>
          <cell r="L610">
            <v>22.350000381469727</v>
          </cell>
          <cell r="P610" t="str">
            <v>PULMONARY/CRITICAL CARE</v>
          </cell>
        </row>
        <row r="611">
          <cell r="F611">
            <v>2016</v>
          </cell>
          <cell r="L611">
            <v>33.810001373291016</v>
          </cell>
          <cell r="P611" t="str">
            <v>PULMONARY/CRITICAL CARE</v>
          </cell>
        </row>
        <row r="612">
          <cell r="F612">
            <v>2016</v>
          </cell>
          <cell r="L612">
            <v>31.969999313354492</v>
          </cell>
          <cell r="P612" t="str">
            <v>PULMONARY/CRITICAL CARE</v>
          </cell>
        </row>
        <row r="613">
          <cell r="F613">
            <v>2017</v>
          </cell>
          <cell r="L613">
            <v>12.020000457763672</v>
          </cell>
          <cell r="P613" t="str">
            <v>PULMONARY/CRITICAL CARE</v>
          </cell>
        </row>
        <row r="614">
          <cell r="F614">
            <v>2017</v>
          </cell>
          <cell r="L614">
            <v>4.5</v>
          </cell>
          <cell r="P614" t="str">
            <v>PULMONARY/CRITICAL CARE</v>
          </cell>
        </row>
        <row r="615">
          <cell r="F615">
            <v>2017</v>
          </cell>
          <cell r="L615">
            <v>3.9700000286102295</v>
          </cell>
          <cell r="P615" t="str">
            <v>PULMONARY/CRITICAL CARE</v>
          </cell>
        </row>
        <row r="616">
          <cell r="F616">
            <v>2017</v>
          </cell>
          <cell r="L616">
            <v>15.5</v>
          </cell>
          <cell r="P616" t="str">
            <v>PULMONARY/CRITICAL CARE</v>
          </cell>
        </row>
        <row r="617">
          <cell r="F617">
            <v>2017</v>
          </cell>
          <cell r="L617">
            <v>49.169998168945313</v>
          </cell>
          <cell r="P617" t="str">
            <v>PULMONARY/CRITICAL CARE</v>
          </cell>
        </row>
        <row r="618">
          <cell r="F618">
            <v>2017</v>
          </cell>
          <cell r="L618">
            <v>56.299999237060547</v>
          </cell>
          <cell r="P618" t="str">
            <v>PULMONARY/CRITICAL CARE</v>
          </cell>
        </row>
        <row r="619">
          <cell r="F619">
            <v>2017</v>
          </cell>
          <cell r="L619">
            <v>60.580001831054688</v>
          </cell>
          <cell r="P619" t="str">
            <v>PULMONARY/CRITICAL CARE</v>
          </cell>
        </row>
        <row r="620">
          <cell r="F620">
            <v>2017</v>
          </cell>
          <cell r="L620">
            <v>52.169998168945313</v>
          </cell>
          <cell r="P620" t="str">
            <v>PULMONARY/CRITICAL CARE</v>
          </cell>
        </row>
        <row r="621">
          <cell r="F621">
            <v>2017</v>
          </cell>
          <cell r="L621">
            <v>60.310001373291016</v>
          </cell>
          <cell r="P621" t="str">
            <v>PULMONARY/CRITICAL CARE</v>
          </cell>
        </row>
        <row r="622">
          <cell r="F622">
            <v>2015</v>
          </cell>
          <cell r="L622">
            <v>9.7100000381469727</v>
          </cell>
          <cell r="P622" t="str">
            <v>Hospitalist</v>
          </cell>
        </row>
        <row r="623">
          <cell r="F623">
            <v>2015</v>
          </cell>
          <cell r="L623">
            <v>29.350000381469727</v>
          </cell>
          <cell r="P623" t="str">
            <v>Hospitalist</v>
          </cell>
        </row>
        <row r="624">
          <cell r="F624">
            <v>2015</v>
          </cell>
          <cell r="L624">
            <v>32.369998931884766</v>
          </cell>
          <cell r="P624" t="str">
            <v>Hospitalist</v>
          </cell>
        </row>
        <row r="625">
          <cell r="F625">
            <v>2015</v>
          </cell>
          <cell r="L625">
            <v>25.770000457763672</v>
          </cell>
          <cell r="P625" t="str">
            <v>Hospitalist</v>
          </cell>
        </row>
        <row r="626">
          <cell r="F626">
            <v>2015</v>
          </cell>
          <cell r="L626">
            <v>5.8600001335144043</v>
          </cell>
          <cell r="P626" t="str">
            <v>Hospitalist</v>
          </cell>
        </row>
        <row r="627">
          <cell r="F627">
            <v>2015</v>
          </cell>
          <cell r="L627">
            <v>27.020000457763672</v>
          </cell>
          <cell r="P627" t="str">
            <v>Hospitalist</v>
          </cell>
        </row>
        <row r="628">
          <cell r="F628">
            <v>2015</v>
          </cell>
          <cell r="L628">
            <v>3.8599998950958252</v>
          </cell>
          <cell r="P628" t="str">
            <v>Hospitalist</v>
          </cell>
        </row>
        <row r="629">
          <cell r="F629">
            <v>2016</v>
          </cell>
          <cell r="L629">
            <v>11.579999923706055</v>
          </cell>
          <cell r="P629" t="str">
            <v>Hospitalist</v>
          </cell>
        </row>
        <row r="630">
          <cell r="F630">
            <v>2016</v>
          </cell>
          <cell r="L630">
            <v>25.469999313354492</v>
          </cell>
          <cell r="P630" t="str">
            <v>Hospitalist</v>
          </cell>
        </row>
        <row r="631">
          <cell r="F631">
            <v>2016</v>
          </cell>
          <cell r="L631">
            <v>3.8599998950958252</v>
          </cell>
          <cell r="P631" t="str">
            <v>Hospitalist</v>
          </cell>
        </row>
        <row r="632">
          <cell r="F632">
            <v>2016</v>
          </cell>
          <cell r="L632">
            <v>11.579999923706055</v>
          </cell>
          <cell r="P632" t="str">
            <v>Hospitalist</v>
          </cell>
        </row>
        <row r="633">
          <cell r="F633">
            <v>2016</v>
          </cell>
          <cell r="L633">
            <v>14.189999580383301</v>
          </cell>
          <cell r="P633" t="str">
            <v>Hospitalist</v>
          </cell>
        </row>
        <row r="634">
          <cell r="F634">
            <v>2016</v>
          </cell>
          <cell r="L634">
            <v>0</v>
          </cell>
          <cell r="P634" t="str">
            <v>Hospitalist</v>
          </cell>
        </row>
        <row r="635">
          <cell r="F635">
            <v>2016</v>
          </cell>
          <cell r="L635">
            <v>29.629999160766602</v>
          </cell>
          <cell r="P635" t="str">
            <v>Hospitalist</v>
          </cell>
        </row>
        <row r="636">
          <cell r="F636">
            <v>2016</v>
          </cell>
          <cell r="L636">
            <v>1.5299999713897705</v>
          </cell>
          <cell r="P636" t="str">
            <v>Cardiology</v>
          </cell>
        </row>
        <row r="637">
          <cell r="F637">
            <v>2015</v>
          </cell>
          <cell r="L637">
            <v>2.5999999046325684</v>
          </cell>
          <cell r="P637" t="str">
            <v>Hospitalist</v>
          </cell>
        </row>
        <row r="638">
          <cell r="F638">
            <v>2015</v>
          </cell>
          <cell r="L638">
            <v>2.5999999046325684</v>
          </cell>
          <cell r="P638" t="str">
            <v>Hospitalist</v>
          </cell>
        </row>
        <row r="639">
          <cell r="F639">
            <v>2015</v>
          </cell>
          <cell r="L639">
            <v>28.200000762939453</v>
          </cell>
          <cell r="P639" t="str">
            <v>Hospitalist</v>
          </cell>
        </row>
        <row r="640">
          <cell r="F640">
            <v>2015</v>
          </cell>
          <cell r="L640">
            <v>12.800000190734863</v>
          </cell>
          <cell r="P640" t="str">
            <v>Hospitalist</v>
          </cell>
        </row>
        <row r="641">
          <cell r="F641">
            <v>2015</v>
          </cell>
          <cell r="L641">
            <v>20.299999237060547</v>
          </cell>
          <cell r="P641" t="str">
            <v>Hospitalist</v>
          </cell>
        </row>
        <row r="642">
          <cell r="F642">
            <v>2015</v>
          </cell>
          <cell r="L642">
            <v>5.1999998092651367</v>
          </cell>
          <cell r="P642" t="str">
            <v>Hospitalist</v>
          </cell>
        </row>
        <row r="643">
          <cell r="F643">
            <v>2015</v>
          </cell>
          <cell r="L643">
            <v>20.600000381469727</v>
          </cell>
          <cell r="P643" t="str">
            <v>Hospitalist</v>
          </cell>
        </row>
        <row r="644">
          <cell r="F644">
            <v>2015</v>
          </cell>
          <cell r="L644">
            <v>35.049999237060547</v>
          </cell>
          <cell r="P644" t="str">
            <v>Hospitalist</v>
          </cell>
        </row>
        <row r="645">
          <cell r="F645">
            <v>2015</v>
          </cell>
          <cell r="L645">
            <v>2.5</v>
          </cell>
          <cell r="P645" t="str">
            <v>Hospitalist</v>
          </cell>
        </row>
        <row r="646">
          <cell r="F646">
            <v>2015</v>
          </cell>
          <cell r="L646">
            <v>27.100000381469727</v>
          </cell>
          <cell r="P646" t="str">
            <v>Hospitalist</v>
          </cell>
        </row>
        <row r="647">
          <cell r="F647">
            <v>2015</v>
          </cell>
          <cell r="L647">
            <v>4.0999999046325684</v>
          </cell>
          <cell r="P647" t="str">
            <v>Hospitalist</v>
          </cell>
        </row>
        <row r="648">
          <cell r="F648">
            <v>2016</v>
          </cell>
          <cell r="L648">
            <v>23</v>
          </cell>
          <cell r="P648" t="str">
            <v>Hospitalist</v>
          </cell>
        </row>
        <row r="649">
          <cell r="F649">
            <v>2016</v>
          </cell>
          <cell r="L649">
            <v>2.5</v>
          </cell>
          <cell r="P649" t="str">
            <v>Hospitalist</v>
          </cell>
        </row>
        <row r="650">
          <cell r="F650">
            <v>2016</v>
          </cell>
          <cell r="L650">
            <v>2.5999999046325684</v>
          </cell>
          <cell r="P650" t="str">
            <v>Hospitalist</v>
          </cell>
        </row>
        <row r="651">
          <cell r="F651">
            <v>2016</v>
          </cell>
          <cell r="L651">
            <v>2.5999999046325684</v>
          </cell>
          <cell r="P651" t="str">
            <v>Hospitalist</v>
          </cell>
        </row>
        <row r="652">
          <cell r="F652">
            <v>2016</v>
          </cell>
          <cell r="L652">
            <v>2.5</v>
          </cell>
          <cell r="P652" t="str">
            <v>Hospitalist</v>
          </cell>
        </row>
        <row r="653">
          <cell r="F653">
            <v>2017</v>
          </cell>
          <cell r="L653">
            <v>5.1999998092651367</v>
          </cell>
          <cell r="P653" t="str">
            <v>Hospitalist</v>
          </cell>
        </row>
        <row r="654">
          <cell r="F654">
            <v>2017</v>
          </cell>
          <cell r="L654">
            <v>2.5999999046325684</v>
          </cell>
          <cell r="P654" t="str">
            <v>Hospitalist</v>
          </cell>
        </row>
        <row r="655">
          <cell r="F655">
            <v>2017</v>
          </cell>
          <cell r="L655">
            <v>5.1999998092651367</v>
          </cell>
          <cell r="P655" t="str">
            <v>Hospitalist</v>
          </cell>
        </row>
        <row r="656">
          <cell r="F656">
            <v>2017</v>
          </cell>
          <cell r="L656">
            <v>17.899999618530273</v>
          </cell>
          <cell r="P656" t="str">
            <v>Hospitalist</v>
          </cell>
        </row>
        <row r="657">
          <cell r="F657">
            <v>2017</v>
          </cell>
          <cell r="L657">
            <v>7.6999998092651367</v>
          </cell>
          <cell r="P657" t="str">
            <v>Hospitalist</v>
          </cell>
        </row>
        <row r="658">
          <cell r="F658">
            <v>2015</v>
          </cell>
          <cell r="L658">
            <v>46.240001678466797</v>
          </cell>
          <cell r="P658" t="str">
            <v>GASTROENTEROLOGY</v>
          </cell>
        </row>
        <row r="659">
          <cell r="F659">
            <v>2015</v>
          </cell>
          <cell r="L659">
            <v>18.430000305175781</v>
          </cell>
          <cell r="P659" t="str">
            <v>GASTROENTEROLOGY</v>
          </cell>
        </row>
        <row r="660">
          <cell r="F660">
            <v>2015</v>
          </cell>
          <cell r="L660">
            <v>29.75</v>
          </cell>
          <cell r="P660" t="str">
            <v>GASTROENTEROLOGY</v>
          </cell>
        </row>
        <row r="661">
          <cell r="F661">
            <v>2015</v>
          </cell>
          <cell r="L661">
            <v>97.129997253417969</v>
          </cell>
          <cell r="P661" t="str">
            <v>GASTROENTEROLOGY</v>
          </cell>
        </row>
        <row r="662">
          <cell r="F662">
            <v>2015</v>
          </cell>
          <cell r="L662">
            <v>139.44999694824219</v>
          </cell>
          <cell r="P662" t="str">
            <v>GASTROENTEROLOGY</v>
          </cell>
        </row>
        <row r="663">
          <cell r="F663">
            <v>2015</v>
          </cell>
          <cell r="L663">
            <v>15.590000152587891</v>
          </cell>
          <cell r="P663" t="str">
            <v>GASTROENTEROLOGY</v>
          </cell>
        </row>
        <row r="664">
          <cell r="F664">
            <v>2015</v>
          </cell>
          <cell r="L664">
            <v>108.86000061035156</v>
          </cell>
          <cell r="P664" t="str">
            <v>GASTROENTEROLOGY</v>
          </cell>
        </row>
        <row r="665">
          <cell r="F665">
            <v>2015</v>
          </cell>
          <cell r="L665">
            <v>103.25</v>
          </cell>
          <cell r="P665" t="str">
            <v>GASTROENTEROLOGY</v>
          </cell>
        </row>
        <row r="666">
          <cell r="F666">
            <v>2015</v>
          </cell>
          <cell r="L666">
            <v>157.83999633789063</v>
          </cell>
          <cell r="P666" t="str">
            <v>GASTROENTEROLOGY</v>
          </cell>
        </row>
        <row r="667">
          <cell r="F667">
            <v>2015</v>
          </cell>
          <cell r="L667">
            <v>204.5</v>
          </cell>
          <cell r="P667" t="str">
            <v>GASTROENTEROLOGY</v>
          </cell>
        </row>
        <row r="668">
          <cell r="F668">
            <v>2015</v>
          </cell>
          <cell r="L668">
            <v>116.84999847412109</v>
          </cell>
          <cell r="P668" t="str">
            <v>GASTROENTEROLOGY</v>
          </cell>
        </row>
        <row r="669">
          <cell r="F669">
            <v>2015</v>
          </cell>
          <cell r="L669">
            <v>226.27999877929688</v>
          </cell>
          <cell r="P669" t="str">
            <v>GASTROENTEROLOGY</v>
          </cell>
        </row>
        <row r="670">
          <cell r="F670">
            <v>2016</v>
          </cell>
          <cell r="L670">
            <v>66.349998474121094</v>
          </cell>
          <cell r="P670" t="str">
            <v>GASTROENTEROLOGY</v>
          </cell>
        </row>
        <row r="671">
          <cell r="F671">
            <v>2016</v>
          </cell>
          <cell r="L671">
            <v>88.010002136230469</v>
          </cell>
          <cell r="P671" t="str">
            <v>GASTROENTEROLOGY</v>
          </cell>
        </row>
        <row r="672">
          <cell r="F672">
            <v>2016</v>
          </cell>
          <cell r="L672">
            <v>85.239997863769531</v>
          </cell>
          <cell r="P672" t="str">
            <v>GASTROENTEROLOGY</v>
          </cell>
        </row>
        <row r="673">
          <cell r="F673">
            <v>2016</v>
          </cell>
          <cell r="L673">
            <v>20.340000152587891</v>
          </cell>
          <cell r="P673" t="str">
            <v>GASTROENTEROLOGY</v>
          </cell>
        </row>
        <row r="674">
          <cell r="F674">
            <v>2016</v>
          </cell>
          <cell r="L674">
            <v>78.879997253417969</v>
          </cell>
          <cell r="P674" t="str">
            <v>GASTROENTEROLOGY</v>
          </cell>
        </row>
        <row r="675">
          <cell r="F675">
            <v>2016</v>
          </cell>
          <cell r="L675">
            <v>99.529998779296875</v>
          </cell>
          <cell r="P675" t="str">
            <v>GASTROENTEROLOGY</v>
          </cell>
        </row>
        <row r="676">
          <cell r="F676">
            <v>2016</v>
          </cell>
          <cell r="L676">
            <v>80.44000244140625</v>
          </cell>
          <cell r="P676" t="str">
            <v>GASTROENTEROLOGY</v>
          </cell>
        </row>
        <row r="677">
          <cell r="F677">
            <v>2016</v>
          </cell>
          <cell r="L677">
            <v>135.47999572753906</v>
          </cell>
          <cell r="P677" t="str">
            <v>GASTROENTEROLOGY</v>
          </cell>
        </row>
        <row r="678">
          <cell r="F678">
            <v>2016</v>
          </cell>
          <cell r="L678">
            <v>118.91999816894531</v>
          </cell>
          <cell r="P678" t="str">
            <v>GASTROENTEROLOGY</v>
          </cell>
        </row>
        <row r="679">
          <cell r="F679">
            <v>2016</v>
          </cell>
          <cell r="L679">
            <v>49.610000610351563</v>
          </cell>
          <cell r="P679" t="str">
            <v>GASTROENTEROLOGY</v>
          </cell>
        </row>
        <row r="680">
          <cell r="F680">
            <v>2016</v>
          </cell>
          <cell r="L680">
            <v>82.230003356933594</v>
          </cell>
          <cell r="P680" t="str">
            <v>GASTROENTEROLOGY</v>
          </cell>
        </row>
        <row r="681">
          <cell r="F681">
            <v>2016</v>
          </cell>
          <cell r="L681">
            <v>78.760002136230469</v>
          </cell>
          <cell r="P681" t="str">
            <v>GASTROENTEROLOGY</v>
          </cell>
        </row>
        <row r="682">
          <cell r="F682">
            <v>2017</v>
          </cell>
          <cell r="L682">
            <v>165.6300048828125</v>
          </cell>
          <cell r="P682" t="str">
            <v>GASTROENTEROLOGY</v>
          </cell>
        </row>
        <row r="683">
          <cell r="F683">
            <v>2017</v>
          </cell>
          <cell r="L683">
            <v>111.19000244140625</v>
          </cell>
          <cell r="P683" t="str">
            <v>GASTROENTEROLOGY</v>
          </cell>
        </row>
        <row r="684">
          <cell r="F684">
            <v>2017</v>
          </cell>
          <cell r="L684">
            <v>63.240001678466797</v>
          </cell>
          <cell r="P684" t="str">
            <v>GASTROENTEROLOGY</v>
          </cell>
        </row>
        <row r="685">
          <cell r="F685">
            <v>2017</v>
          </cell>
          <cell r="L685">
            <v>64.209999084472656</v>
          </cell>
          <cell r="P685" t="str">
            <v>GASTROENTEROLOGY</v>
          </cell>
        </row>
        <row r="686">
          <cell r="F686">
            <v>2017</v>
          </cell>
          <cell r="L686">
            <v>58.569999694824219</v>
          </cell>
          <cell r="P686" t="str">
            <v>GASTROENTEROLOGY</v>
          </cell>
        </row>
        <row r="687">
          <cell r="F687">
            <v>2017</v>
          </cell>
          <cell r="L687">
            <v>21.959999084472656</v>
          </cell>
          <cell r="P687" t="str">
            <v>GASTROENTEROLOGY</v>
          </cell>
        </row>
        <row r="688">
          <cell r="F688">
            <v>2017</v>
          </cell>
          <cell r="L688">
            <v>0</v>
          </cell>
          <cell r="P688" t="str">
            <v>GASTROENTEROLOGY</v>
          </cell>
        </row>
        <row r="689">
          <cell r="F689">
            <v>2017</v>
          </cell>
          <cell r="L689">
            <v>174.10000610351563</v>
          </cell>
          <cell r="P689" t="str">
            <v>Hospitalist</v>
          </cell>
        </row>
        <row r="690">
          <cell r="F690">
            <v>2017</v>
          </cell>
          <cell r="L690">
            <v>63.180000305175781</v>
          </cell>
          <cell r="P690" t="str">
            <v>Hospitalist</v>
          </cell>
        </row>
        <row r="691">
          <cell r="F691">
            <v>2017</v>
          </cell>
          <cell r="L691">
            <v>212.00999450683594</v>
          </cell>
          <cell r="P691" t="str">
            <v>Hospitalist</v>
          </cell>
        </row>
        <row r="692">
          <cell r="F692">
            <v>2017</v>
          </cell>
          <cell r="L692">
            <v>48.5</v>
          </cell>
          <cell r="P692" t="str">
            <v>Hospitalist</v>
          </cell>
        </row>
        <row r="693">
          <cell r="F693">
            <v>2017</v>
          </cell>
          <cell r="L693">
            <v>36.869998931884766</v>
          </cell>
          <cell r="P693" t="str">
            <v>Hospitalist</v>
          </cell>
        </row>
        <row r="694">
          <cell r="F694">
            <v>2016</v>
          </cell>
          <cell r="L694">
            <v>65.569999694824219</v>
          </cell>
          <cell r="P694" t="str">
            <v>Hospitalist</v>
          </cell>
        </row>
        <row r="695">
          <cell r="F695">
            <v>2016</v>
          </cell>
          <cell r="L695">
            <v>276.80999755859375</v>
          </cell>
          <cell r="P695" t="str">
            <v>Hospitalist</v>
          </cell>
        </row>
        <row r="696">
          <cell r="F696">
            <v>2016</v>
          </cell>
          <cell r="L696">
            <v>249.27999877929688</v>
          </cell>
          <cell r="P696" t="str">
            <v>Hospitalist</v>
          </cell>
        </row>
        <row r="697">
          <cell r="F697">
            <v>2016</v>
          </cell>
          <cell r="L697">
            <v>108.63999938964844</v>
          </cell>
          <cell r="P697" t="str">
            <v>Hospitalist</v>
          </cell>
        </row>
        <row r="698">
          <cell r="F698">
            <v>2016</v>
          </cell>
          <cell r="L698">
            <v>289.54998779296875</v>
          </cell>
          <cell r="P698" t="str">
            <v>Hospitalist</v>
          </cell>
        </row>
        <row r="699">
          <cell r="F699">
            <v>2016</v>
          </cell>
          <cell r="L699">
            <v>118.12000274658203</v>
          </cell>
          <cell r="P699" t="str">
            <v>Hospitalist</v>
          </cell>
        </row>
        <row r="700">
          <cell r="F700">
            <v>2016</v>
          </cell>
          <cell r="L700">
            <v>154.27000427246094</v>
          </cell>
          <cell r="P700" t="str">
            <v>Hospitalist</v>
          </cell>
        </row>
        <row r="701">
          <cell r="F701">
            <v>2016</v>
          </cell>
          <cell r="L701">
            <v>254.94999694824219</v>
          </cell>
          <cell r="P701" t="str">
            <v>Hospitalist</v>
          </cell>
        </row>
        <row r="702">
          <cell r="F702">
            <v>2016</v>
          </cell>
          <cell r="L702">
            <v>230.77000427246094</v>
          </cell>
          <cell r="P702" t="str">
            <v>Hospitalist</v>
          </cell>
        </row>
        <row r="703">
          <cell r="F703">
            <v>2016</v>
          </cell>
          <cell r="L703">
            <v>313.08999633789063</v>
          </cell>
          <cell r="P703" t="str">
            <v>Hospitalist</v>
          </cell>
        </row>
        <row r="704">
          <cell r="F704">
            <v>2016</v>
          </cell>
          <cell r="L704">
            <v>299.6099853515625</v>
          </cell>
          <cell r="P704" t="str">
            <v>Hospitalist</v>
          </cell>
        </row>
        <row r="705">
          <cell r="F705">
            <v>2017</v>
          </cell>
          <cell r="L705">
            <v>8</v>
          </cell>
          <cell r="P705" t="str">
            <v>Hospitalist</v>
          </cell>
        </row>
        <row r="706">
          <cell r="F706">
            <v>2017</v>
          </cell>
          <cell r="L706">
            <v>0</v>
          </cell>
          <cell r="P706" t="str">
            <v>Hospitalist</v>
          </cell>
        </row>
        <row r="707">
          <cell r="F707">
            <v>2017</v>
          </cell>
          <cell r="L707">
            <v>-9.9999997764825821E-3</v>
          </cell>
          <cell r="P707" t="str">
            <v>Hospitalist</v>
          </cell>
        </row>
        <row r="708">
          <cell r="F708">
            <v>2016</v>
          </cell>
          <cell r="L708">
            <v>10.319999694824219</v>
          </cell>
          <cell r="P708" t="str">
            <v>UNMMG Midlevel</v>
          </cell>
        </row>
        <row r="709">
          <cell r="F709">
            <v>2016</v>
          </cell>
          <cell r="L709">
            <v>108.83999633789063</v>
          </cell>
          <cell r="P709" t="str">
            <v>UNMMG Midlevel</v>
          </cell>
        </row>
        <row r="710">
          <cell r="F710">
            <v>2016</v>
          </cell>
          <cell r="L710">
            <v>191.77999877929688</v>
          </cell>
          <cell r="P710" t="str">
            <v>UNMMG Midlevel</v>
          </cell>
        </row>
        <row r="711">
          <cell r="F711">
            <v>2016</v>
          </cell>
          <cell r="L711">
            <v>119.37999725341797</v>
          </cell>
          <cell r="P711" t="str">
            <v>UNMMG Midlevel</v>
          </cell>
        </row>
        <row r="712">
          <cell r="F712">
            <v>2016</v>
          </cell>
          <cell r="L712">
            <v>296.19000244140625</v>
          </cell>
          <cell r="P712" t="str">
            <v>UNMMG Midlevel</v>
          </cell>
        </row>
        <row r="713">
          <cell r="F713">
            <v>2016</v>
          </cell>
          <cell r="L713">
            <v>271.510009765625</v>
          </cell>
          <cell r="P713" t="str">
            <v>UNMMG Midlevel</v>
          </cell>
        </row>
        <row r="714">
          <cell r="F714">
            <v>2016</v>
          </cell>
          <cell r="L714">
            <v>279.72000122070313</v>
          </cell>
          <cell r="P714" t="str">
            <v>UNMMG Midlevel</v>
          </cell>
        </row>
        <row r="715">
          <cell r="F715">
            <v>2016</v>
          </cell>
          <cell r="L715">
            <v>73.19000244140625</v>
          </cell>
          <cell r="P715" t="str">
            <v>UNMMG Midlevel</v>
          </cell>
        </row>
        <row r="716">
          <cell r="F716">
            <v>2016</v>
          </cell>
          <cell r="L716">
            <v>0.34999999403953552</v>
          </cell>
          <cell r="P716" t="str">
            <v>UNMMG Midlevel</v>
          </cell>
        </row>
        <row r="717">
          <cell r="F717">
            <v>2016</v>
          </cell>
          <cell r="L717">
            <v>0.9100000262260437</v>
          </cell>
          <cell r="P717" t="str">
            <v>UNMMG Midlevel</v>
          </cell>
        </row>
        <row r="718">
          <cell r="F718">
            <v>2017</v>
          </cell>
          <cell r="L718">
            <v>-0.68000000715255737</v>
          </cell>
          <cell r="P718" t="str">
            <v>UNMMG Midlevel</v>
          </cell>
        </row>
        <row r="719">
          <cell r="F719">
            <v>2015</v>
          </cell>
          <cell r="L719">
            <v>20.850000381469727</v>
          </cell>
          <cell r="P719" t="str">
            <v>Hospitalist</v>
          </cell>
        </row>
        <row r="720">
          <cell r="F720">
            <v>2015</v>
          </cell>
          <cell r="L720">
            <v>-18.950000762939453</v>
          </cell>
          <cell r="P720" t="str">
            <v>Hospitalist</v>
          </cell>
        </row>
        <row r="721">
          <cell r="F721">
            <v>2016</v>
          </cell>
          <cell r="L721">
            <v>-1.8999999761581421</v>
          </cell>
          <cell r="P721" t="str">
            <v>Hospitalist</v>
          </cell>
        </row>
        <row r="722">
          <cell r="F722">
            <v>2015</v>
          </cell>
          <cell r="L722">
            <v>0</v>
          </cell>
          <cell r="P722" t="str">
            <v>ENDOCRINOLOGY</v>
          </cell>
        </row>
        <row r="723">
          <cell r="F723">
            <v>2015</v>
          </cell>
          <cell r="L723">
            <v>41.779998779296875</v>
          </cell>
          <cell r="P723" t="str">
            <v>ENDOCRINOLOGY</v>
          </cell>
        </row>
        <row r="724">
          <cell r="F724">
            <v>2015</v>
          </cell>
          <cell r="L724">
            <v>67.449996948242188</v>
          </cell>
          <cell r="P724" t="str">
            <v>ENDOCRINOLOGY</v>
          </cell>
        </row>
        <row r="725">
          <cell r="F725">
            <v>2015</v>
          </cell>
          <cell r="L725">
            <v>58.360000610351563</v>
          </cell>
          <cell r="P725" t="str">
            <v>ENDOCRINOLOGY</v>
          </cell>
        </row>
        <row r="726">
          <cell r="F726">
            <v>2015</v>
          </cell>
          <cell r="L726">
            <v>80.849998474121094</v>
          </cell>
          <cell r="P726" t="str">
            <v>ENDOCRINOLOGY</v>
          </cell>
        </row>
        <row r="727">
          <cell r="F727">
            <v>2015</v>
          </cell>
          <cell r="L727">
            <v>66.580001831054688</v>
          </cell>
          <cell r="P727" t="str">
            <v>ENDOCRINOLOGY</v>
          </cell>
        </row>
        <row r="728">
          <cell r="F728">
            <v>2015</v>
          </cell>
          <cell r="L728">
            <v>71.449996948242188</v>
          </cell>
          <cell r="P728" t="str">
            <v>ENDOCRINOLOGY</v>
          </cell>
        </row>
        <row r="729">
          <cell r="F729">
            <v>2015</v>
          </cell>
          <cell r="L729">
            <v>66.480003356933594</v>
          </cell>
          <cell r="P729" t="str">
            <v>ENDOCRINOLOGY</v>
          </cell>
        </row>
        <row r="730">
          <cell r="F730">
            <v>2015</v>
          </cell>
          <cell r="L730">
            <v>78.650001525878906</v>
          </cell>
          <cell r="P730" t="str">
            <v>ENDOCRINOLOGY</v>
          </cell>
        </row>
        <row r="731">
          <cell r="F731">
            <v>2016</v>
          </cell>
          <cell r="L731">
            <v>72.139999389648438</v>
          </cell>
          <cell r="P731" t="str">
            <v>ENDOCRINOLOGY</v>
          </cell>
        </row>
        <row r="732">
          <cell r="F732">
            <v>2016</v>
          </cell>
          <cell r="L732">
            <v>56.069999694824219</v>
          </cell>
          <cell r="P732" t="str">
            <v>ENDOCRINOLOGY</v>
          </cell>
        </row>
        <row r="733">
          <cell r="F733">
            <v>2016</v>
          </cell>
          <cell r="L733">
            <v>47.040000915527344</v>
          </cell>
          <cell r="P733" t="str">
            <v>ENDOCRINOLOGY</v>
          </cell>
        </row>
        <row r="734">
          <cell r="F734">
            <v>2016</v>
          </cell>
          <cell r="L734">
            <v>16.370000839233398</v>
          </cell>
          <cell r="P734" t="str">
            <v>ENDOCRINOLOGY</v>
          </cell>
        </row>
        <row r="735">
          <cell r="F735">
            <v>2016</v>
          </cell>
          <cell r="L735">
            <v>82.389999389648438</v>
          </cell>
          <cell r="P735" t="str">
            <v>ENDOCRINOLOGY</v>
          </cell>
        </row>
        <row r="736">
          <cell r="F736">
            <v>2016</v>
          </cell>
          <cell r="L736">
            <v>33.310001373291016</v>
          </cell>
          <cell r="P736" t="str">
            <v>ENDOCRINOLOGY</v>
          </cell>
        </row>
        <row r="737">
          <cell r="F737">
            <v>2016</v>
          </cell>
          <cell r="L737">
            <v>64.669998168945313</v>
          </cell>
          <cell r="P737" t="str">
            <v>ENDOCRINOLOGY</v>
          </cell>
        </row>
        <row r="738">
          <cell r="F738">
            <v>2016</v>
          </cell>
          <cell r="L738">
            <v>91.769996643066406</v>
          </cell>
          <cell r="P738" t="str">
            <v>ENDOCRINOLOGY</v>
          </cell>
        </row>
        <row r="739">
          <cell r="F739">
            <v>2016</v>
          </cell>
          <cell r="L739">
            <v>105.58000183105469</v>
          </cell>
          <cell r="P739" t="str">
            <v>ENDOCRINOLOGY</v>
          </cell>
        </row>
        <row r="740">
          <cell r="F740">
            <v>2016</v>
          </cell>
          <cell r="L740">
            <v>82.839996337890625</v>
          </cell>
          <cell r="P740" t="str">
            <v>ENDOCRINOLOGY</v>
          </cell>
        </row>
        <row r="741">
          <cell r="F741">
            <v>2016</v>
          </cell>
          <cell r="L741">
            <v>73.900001525878906</v>
          </cell>
          <cell r="P741" t="str">
            <v>ENDOCRINOLOGY</v>
          </cell>
        </row>
        <row r="742">
          <cell r="F742">
            <v>2016</v>
          </cell>
          <cell r="L742">
            <v>108.94000244140625</v>
          </cell>
          <cell r="P742" t="str">
            <v>ENDOCRINOLOGY</v>
          </cell>
        </row>
        <row r="743">
          <cell r="F743">
            <v>2017</v>
          </cell>
          <cell r="L743">
            <v>51.639999389648438</v>
          </cell>
          <cell r="P743" t="str">
            <v>ENDOCRINOLOGY</v>
          </cell>
        </row>
        <row r="744">
          <cell r="F744">
            <v>2017</v>
          </cell>
          <cell r="L744">
            <v>79.040000915527344</v>
          </cell>
          <cell r="P744" t="str">
            <v>ENDOCRINOLOGY</v>
          </cell>
        </row>
        <row r="745">
          <cell r="F745">
            <v>2017</v>
          </cell>
          <cell r="L745">
            <v>48.590000152587891</v>
          </cell>
          <cell r="P745" t="str">
            <v>ENDOCRINOLOGY</v>
          </cell>
        </row>
        <row r="746">
          <cell r="F746">
            <v>2017</v>
          </cell>
          <cell r="L746">
            <v>47.639999389648438</v>
          </cell>
          <cell r="P746" t="str">
            <v>ENDOCRINOLOGY</v>
          </cell>
        </row>
        <row r="747">
          <cell r="F747">
            <v>2017</v>
          </cell>
          <cell r="L747">
            <v>56.060001373291016</v>
          </cell>
          <cell r="P747" t="str">
            <v>ENDOCRINOLOGY</v>
          </cell>
        </row>
        <row r="748">
          <cell r="F748">
            <v>2017</v>
          </cell>
          <cell r="L748">
            <v>74.05999755859375</v>
          </cell>
          <cell r="P748" t="str">
            <v>ENDOCRINOLOGY</v>
          </cell>
        </row>
        <row r="749">
          <cell r="F749">
            <v>2016</v>
          </cell>
          <cell r="L749">
            <v>48.930000305175781</v>
          </cell>
          <cell r="P749" t="str">
            <v>Hospitalist</v>
          </cell>
        </row>
        <row r="750">
          <cell r="F750">
            <v>2016</v>
          </cell>
          <cell r="L750">
            <v>148.46000671386719</v>
          </cell>
          <cell r="P750" t="str">
            <v>Hospitalist</v>
          </cell>
        </row>
        <row r="751">
          <cell r="F751">
            <v>2016</v>
          </cell>
          <cell r="L751">
            <v>25.770000457763672</v>
          </cell>
          <cell r="P751" t="str">
            <v>Hospitalist</v>
          </cell>
        </row>
        <row r="752">
          <cell r="F752">
            <v>2016</v>
          </cell>
          <cell r="L752">
            <v>25.420000076293945</v>
          </cell>
          <cell r="P752" t="str">
            <v>Hospitalist</v>
          </cell>
        </row>
        <row r="753">
          <cell r="F753">
            <v>2016</v>
          </cell>
          <cell r="L753">
            <v>46.569999694824219</v>
          </cell>
          <cell r="P753" t="str">
            <v>Hospitalist</v>
          </cell>
        </row>
        <row r="754">
          <cell r="F754">
            <v>2016</v>
          </cell>
          <cell r="L754">
            <v>0</v>
          </cell>
          <cell r="P754" t="str">
            <v>Hospitalist</v>
          </cell>
        </row>
        <row r="755">
          <cell r="F755">
            <v>2017</v>
          </cell>
          <cell r="L755">
            <v>15.050000190734863</v>
          </cell>
          <cell r="P755" t="str">
            <v>UNMMG Midlevel</v>
          </cell>
        </row>
        <row r="756">
          <cell r="F756">
            <v>2015</v>
          </cell>
          <cell r="L756">
            <v>0</v>
          </cell>
          <cell r="P756" t="str">
            <v>UNMMG Midlevel</v>
          </cell>
        </row>
        <row r="757">
          <cell r="F757">
            <v>2015</v>
          </cell>
          <cell r="L757">
            <v>15.369999885559082</v>
          </cell>
          <cell r="P757" t="str">
            <v>UNMMG Midlevel</v>
          </cell>
        </row>
        <row r="758">
          <cell r="F758">
            <v>2015</v>
          </cell>
          <cell r="L758">
            <v>0</v>
          </cell>
          <cell r="P758" t="str">
            <v>UNMMG Midlevel</v>
          </cell>
        </row>
        <row r="759">
          <cell r="F759">
            <v>2015</v>
          </cell>
          <cell r="L759">
            <v>0</v>
          </cell>
          <cell r="P759" t="str">
            <v>UNMMG Midlevel</v>
          </cell>
        </row>
        <row r="760">
          <cell r="F760">
            <v>2016</v>
          </cell>
          <cell r="L760">
            <v>76.430000305175781</v>
          </cell>
          <cell r="P760" t="str">
            <v>UNMMG Midlevel</v>
          </cell>
        </row>
        <row r="761">
          <cell r="F761">
            <v>2016</v>
          </cell>
          <cell r="L761">
            <v>4.3400001525878906</v>
          </cell>
          <cell r="P761" t="str">
            <v>UNMMG Midlevel</v>
          </cell>
        </row>
        <row r="762">
          <cell r="F762">
            <v>2016</v>
          </cell>
          <cell r="L762">
            <v>17.639999389648438</v>
          </cell>
          <cell r="P762" t="str">
            <v>UNMMG Midlevel</v>
          </cell>
        </row>
        <row r="763">
          <cell r="F763">
            <v>2016</v>
          </cell>
          <cell r="L763">
            <v>26.549999237060547</v>
          </cell>
          <cell r="P763" t="str">
            <v>UNMMG Midlevel</v>
          </cell>
        </row>
        <row r="764">
          <cell r="F764">
            <v>2016</v>
          </cell>
          <cell r="L764">
            <v>3.4000000953674316</v>
          </cell>
          <cell r="P764" t="str">
            <v>UNMMG Midlevel</v>
          </cell>
        </row>
        <row r="765">
          <cell r="F765">
            <v>2016</v>
          </cell>
          <cell r="L765">
            <v>97.599998474121094</v>
          </cell>
          <cell r="P765" t="str">
            <v>UNMMG Midlevel</v>
          </cell>
        </row>
        <row r="766">
          <cell r="F766">
            <v>2016</v>
          </cell>
          <cell r="L766">
            <v>11.590000152587891</v>
          </cell>
          <cell r="P766" t="str">
            <v>UNMMG Midlevel</v>
          </cell>
        </row>
        <row r="767">
          <cell r="F767">
            <v>2016</v>
          </cell>
          <cell r="L767">
            <v>96.569999694824219</v>
          </cell>
          <cell r="P767" t="str">
            <v>UNMMG Midlevel</v>
          </cell>
        </row>
        <row r="768">
          <cell r="F768">
            <v>2016</v>
          </cell>
          <cell r="L768">
            <v>20.450000762939453</v>
          </cell>
          <cell r="P768" t="str">
            <v>UNMMG Midlevel</v>
          </cell>
        </row>
        <row r="769">
          <cell r="F769">
            <v>2016</v>
          </cell>
          <cell r="L769">
            <v>46.970001220703125</v>
          </cell>
          <cell r="P769" t="str">
            <v>UNMMG Midlevel</v>
          </cell>
        </row>
        <row r="770">
          <cell r="F770">
            <v>2016</v>
          </cell>
          <cell r="L770">
            <v>-22.100000381469727</v>
          </cell>
          <cell r="P770" t="str">
            <v>UNMMG Midlevel</v>
          </cell>
        </row>
        <row r="771">
          <cell r="F771">
            <v>2015</v>
          </cell>
          <cell r="L771">
            <v>9.8199996948242188</v>
          </cell>
          <cell r="P771" t="str">
            <v>PULMONARY/CRITICAL CARE</v>
          </cell>
        </row>
        <row r="772">
          <cell r="F772">
            <v>2015</v>
          </cell>
          <cell r="L772">
            <v>16.610000610351563</v>
          </cell>
          <cell r="P772" t="str">
            <v>PULMONARY/CRITICAL CARE</v>
          </cell>
        </row>
        <row r="773">
          <cell r="F773">
            <v>2015</v>
          </cell>
          <cell r="L773">
            <v>56.080001831054688</v>
          </cell>
          <cell r="P773" t="str">
            <v>PULMONARY/CRITICAL CARE</v>
          </cell>
        </row>
        <row r="774">
          <cell r="F774">
            <v>2015</v>
          </cell>
          <cell r="L774">
            <v>50.400001525878906</v>
          </cell>
          <cell r="P774" t="str">
            <v>PULMONARY/CRITICAL CARE</v>
          </cell>
        </row>
        <row r="775">
          <cell r="F775">
            <v>2015</v>
          </cell>
          <cell r="L775">
            <v>31.979999542236328</v>
          </cell>
          <cell r="P775" t="str">
            <v>PULMONARY/CRITICAL CARE</v>
          </cell>
        </row>
        <row r="776">
          <cell r="F776">
            <v>2015</v>
          </cell>
          <cell r="L776">
            <v>27.260000228881836</v>
          </cell>
          <cell r="P776" t="str">
            <v>PULMONARY/CRITICAL CARE</v>
          </cell>
        </row>
        <row r="777">
          <cell r="F777">
            <v>2015</v>
          </cell>
          <cell r="L777">
            <v>69.620002746582031</v>
          </cell>
          <cell r="P777" t="str">
            <v>PULMONARY/CRITICAL CARE</v>
          </cell>
        </row>
        <row r="778">
          <cell r="F778">
            <v>2015</v>
          </cell>
          <cell r="L778">
            <v>30.770000457763672</v>
          </cell>
          <cell r="P778" t="str">
            <v>PULMONARY/CRITICAL CARE</v>
          </cell>
        </row>
        <row r="779">
          <cell r="F779">
            <v>2015</v>
          </cell>
          <cell r="L779">
            <v>51.029998779296875</v>
          </cell>
          <cell r="P779" t="str">
            <v>PULMONARY/CRITICAL CARE</v>
          </cell>
        </row>
        <row r="780">
          <cell r="F780">
            <v>2015</v>
          </cell>
          <cell r="L780">
            <v>69.150001525878906</v>
          </cell>
          <cell r="P780" t="str">
            <v>PULMONARY/CRITICAL CARE</v>
          </cell>
        </row>
        <row r="781">
          <cell r="F781">
            <v>2015</v>
          </cell>
          <cell r="L781">
            <v>32.430000305175781</v>
          </cell>
          <cell r="P781" t="str">
            <v>PULMONARY/CRITICAL CARE</v>
          </cell>
        </row>
        <row r="782">
          <cell r="F782">
            <v>2016</v>
          </cell>
          <cell r="L782">
            <v>20.360000610351563</v>
          </cell>
          <cell r="P782" t="str">
            <v>PULMONARY/CRITICAL CARE</v>
          </cell>
        </row>
        <row r="783">
          <cell r="F783">
            <v>2016</v>
          </cell>
          <cell r="L783">
            <v>53.990001678466797</v>
          </cell>
          <cell r="P783" t="str">
            <v>PULMONARY/CRITICAL CARE</v>
          </cell>
        </row>
        <row r="784">
          <cell r="F784">
            <v>2016</v>
          </cell>
          <cell r="L784">
            <v>37.029998779296875</v>
          </cell>
          <cell r="P784" t="str">
            <v>PULMONARY/CRITICAL CARE</v>
          </cell>
        </row>
        <row r="785">
          <cell r="F785">
            <v>2016</v>
          </cell>
          <cell r="L785">
            <v>41.299999237060547</v>
          </cell>
          <cell r="P785" t="str">
            <v>PULMONARY/CRITICAL CARE</v>
          </cell>
        </row>
        <row r="786">
          <cell r="F786">
            <v>2016</v>
          </cell>
          <cell r="L786">
            <v>31.600000381469727</v>
          </cell>
          <cell r="P786" t="str">
            <v>PULMONARY/CRITICAL CARE</v>
          </cell>
        </row>
        <row r="787">
          <cell r="F787">
            <v>2016</v>
          </cell>
          <cell r="L787">
            <v>36.340000152587891</v>
          </cell>
          <cell r="P787" t="str">
            <v>PULMONARY/CRITICAL CARE</v>
          </cell>
        </row>
        <row r="788">
          <cell r="F788">
            <v>2016</v>
          </cell>
          <cell r="L788">
            <v>23.649999618530273</v>
          </cell>
          <cell r="P788" t="str">
            <v>PULMONARY/CRITICAL CARE</v>
          </cell>
        </row>
        <row r="789">
          <cell r="F789">
            <v>2016</v>
          </cell>
          <cell r="L789">
            <v>52.479999542236328</v>
          </cell>
          <cell r="P789" t="str">
            <v>PULMONARY/CRITICAL CARE</v>
          </cell>
        </row>
        <row r="790">
          <cell r="F790">
            <v>2016</v>
          </cell>
          <cell r="L790">
            <v>45.740001678466797</v>
          </cell>
          <cell r="P790" t="str">
            <v>PULMONARY/CRITICAL CARE</v>
          </cell>
        </row>
        <row r="791">
          <cell r="F791">
            <v>2016</v>
          </cell>
          <cell r="L791">
            <v>35.380001068115234</v>
          </cell>
          <cell r="P791" t="str">
            <v>PULMONARY/CRITICAL CARE</v>
          </cell>
        </row>
        <row r="792">
          <cell r="F792">
            <v>2016</v>
          </cell>
          <cell r="L792">
            <v>113.55999755859375</v>
          </cell>
          <cell r="P792" t="str">
            <v>PULMONARY/CRITICAL CARE</v>
          </cell>
        </row>
        <row r="793">
          <cell r="F793">
            <v>2016</v>
          </cell>
          <cell r="L793">
            <v>28.639999389648438</v>
          </cell>
          <cell r="P793" t="str">
            <v>PULMONARY/CRITICAL CARE</v>
          </cell>
        </row>
        <row r="794">
          <cell r="F794">
            <v>2017</v>
          </cell>
          <cell r="L794">
            <v>8.9600000381469727</v>
          </cell>
          <cell r="P794" t="str">
            <v>PULMONARY/CRITICAL CARE</v>
          </cell>
        </row>
        <row r="795">
          <cell r="F795">
            <v>2015</v>
          </cell>
          <cell r="L795">
            <v>86.569999694824219</v>
          </cell>
          <cell r="P795" t="str">
            <v>SRMC -Hospitalist Midlevels</v>
          </cell>
        </row>
        <row r="796">
          <cell r="F796">
            <v>2015</v>
          </cell>
          <cell r="L796">
            <v>162.44000244140625</v>
          </cell>
          <cell r="P796" t="str">
            <v>SRMC -Hospitalist Midlevels</v>
          </cell>
        </row>
        <row r="797">
          <cell r="F797">
            <v>2015</v>
          </cell>
          <cell r="L797">
            <v>156.67999267578125</v>
          </cell>
          <cell r="P797" t="str">
            <v>SRMC -Hospitalist Midlevels</v>
          </cell>
        </row>
        <row r="798">
          <cell r="F798">
            <v>2015</v>
          </cell>
          <cell r="L798">
            <v>188.14999389648438</v>
          </cell>
          <cell r="P798" t="str">
            <v>SRMC -Hospitalist Midlevels</v>
          </cell>
        </row>
        <row r="799">
          <cell r="F799">
            <v>2015</v>
          </cell>
          <cell r="L799">
            <v>194.46000671386719</v>
          </cell>
          <cell r="P799" t="str">
            <v>SRMC -Hospitalist Midlevels</v>
          </cell>
        </row>
        <row r="800">
          <cell r="F800">
            <v>2015</v>
          </cell>
          <cell r="L800">
            <v>175.3800048828125</v>
          </cell>
          <cell r="P800" t="str">
            <v>SRMC -Hospitalist Midlevels</v>
          </cell>
        </row>
        <row r="801">
          <cell r="F801">
            <v>2015</v>
          </cell>
          <cell r="L801">
            <v>189.99000549316406</v>
          </cell>
          <cell r="P801" t="str">
            <v>SRMC -Hospitalist Midlevels</v>
          </cell>
        </row>
        <row r="802">
          <cell r="F802">
            <v>2015</v>
          </cell>
          <cell r="L802">
            <v>59.119998931884766</v>
          </cell>
          <cell r="P802" t="str">
            <v>SRMC -Hospitalist Midlevels</v>
          </cell>
        </row>
        <row r="803">
          <cell r="F803">
            <v>2015</v>
          </cell>
          <cell r="L803">
            <v>70.730003356933594</v>
          </cell>
          <cell r="P803" t="str">
            <v>SRMC -Hospitalist Midlevels</v>
          </cell>
        </row>
        <row r="804">
          <cell r="F804">
            <v>2015</v>
          </cell>
          <cell r="L804">
            <v>151.89999389648438</v>
          </cell>
          <cell r="P804" t="str">
            <v>SRMC -Hospitalist Midlevels</v>
          </cell>
        </row>
        <row r="805">
          <cell r="F805">
            <v>2015</v>
          </cell>
          <cell r="L805">
            <v>153.14999389648438</v>
          </cell>
          <cell r="P805" t="str">
            <v>SRMC -Hospitalist Midlevels</v>
          </cell>
        </row>
        <row r="806">
          <cell r="F806">
            <v>2015</v>
          </cell>
          <cell r="L806">
            <v>72.069999694824219</v>
          </cell>
          <cell r="P806" t="str">
            <v>SRMC -Hospitalist Midlevels</v>
          </cell>
        </row>
        <row r="807">
          <cell r="F807">
            <v>2016</v>
          </cell>
          <cell r="L807">
            <v>84.540000915527344</v>
          </cell>
          <cell r="P807" t="str">
            <v>SRMC -Hospitalist Midlevels</v>
          </cell>
        </row>
        <row r="808">
          <cell r="F808">
            <v>2016</v>
          </cell>
          <cell r="L808">
            <v>100.01000213623047</v>
          </cell>
          <cell r="P808" t="str">
            <v>SRMC -Hospitalist Midlevels</v>
          </cell>
        </row>
        <row r="809">
          <cell r="F809">
            <v>2016</v>
          </cell>
          <cell r="L809">
            <v>155.47999572753906</v>
          </cell>
          <cell r="P809" t="str">
            <v>SRMC -Hospitalist Midlevels</v>
          </cell>
        </row>
        <row r="810">
          <cell r="F810">
            <v>2016</v>
          </cell>
          <cell r="L810">
            <v>154.1300048828125</v>
          </cell>
          <cell r="P810" t="str">
            <v>SRMC -Hospitalist Midlevels</v>
          </cell>
        </row>
        <row r="811">
          <cell r="F811">
            <v>2016</v>
          </cell>
          <cell r="L811">
            <v>74.080001831054688</v>
          </cell>
          <cell r="P811" t="str">
            <v>SRMC -Hospitalist Midlevels</v>
          </cell>
        </row>
        <row r="812">
          <cell r="F812">
            <v>2016</v>
          </cell>
          <cell r="L812">
            <v>144.32000732421875</v>
          </cell>
          <cell r="P812" t="str">
            <v>SRMC -Hospitalist Midlevels</v>
          </cell>
        </row>
        <row r="813">
          <cell r="F813">
            <v>2016</v>
          </cell>
          <cell r="L813">
            <v>102.37999725341797</v>
          </cell>
          <cell r="P813" t="str">
            <v>SRMC -Hospitalist Midlevels</v>
          </cell>
        </row>
        <row r="814">
          <cell r="F814">
            <v>2016</v>
          </cell>
          <cell r="L814">
            <v>129.53999328613281</v>
          </cell>
          <cell r="P814" t="str">
            <v>SRMC -Hospitalist Midlevels</v>
          </cell>
        </row>
        <row r="815">
          <cell r="F815">
            <v>2016</v>
          </cell>
          <cell r="L815">
            <v>208.41000366210938</v>
          </cell>
          <cell r="P815" t="str">
            <v>SRMC -Hospitalist Midlevels</v>
          </cell>
        </row>
        <row r="816">
          <cell r="F816">
            <v>2016</v>
          </cell>
          <cell r="L816">
            <v>90.269996643066406</v>
          </cell>
          <cell r="P816" t="str">
            <v>SRMC -Hospitalist Midlevels</v>
          </cell>
        </row>
        <row r="817">
          <cell r="F817">
            <v>2016</v>
          </cell>
          <cell r="L817">
            <v>163.14999389648438</v>
          </cell>
          <cell r="P817" t="str">
            <v>SRMC -Hospitalist Midlevels</v>
          </cell>
        </row>
        <row r="818">
          <cell r="F818">
            <v>2016</v>
          </cell>
          <cell r="L818">
            <v>161.63999938964844</v>
          </cell>
          <cell r="P818" t="str">
            <v>SRMC -Hospitalist Midlevels</v>
          </cell>
        </row>
        <row r="819">
          <cell r="F819">
            <v>2017</v>
          </cell>
          <cell r="L819">
            <v>143.63999938964844</v>
          </cell>
          <cell r="P819" t="str">
            <v>SRMC -Hospitalist Midlevels</v>
          </cell>
        </row>
        <row r="820">
          <cell r="F820">
            <v>2017</v>
          </cell>
          <cell r="L820">
            <v>159.3800048828125</v>
          </cell>
          <cell r="P820" t="str">
            <v>SRMC -Hospitalist Midlevels</v>
          </cell>
        </row>
        <row r="821">
          <cell r="F821">
            <v>2017</v>
          </cell>
          <cell r="L821">
            <v>56.139999389648438</v>
          </cell>
          <cell r="P821" t="str">
            <v>SRMC -Hospitalist Midlevels</v>
          </cell>
        </row>
        <row r="822">
          <cell r="F822">
            <v>2017</v>
          </cell>
          <cell r="L822">
            <v>103.12999725341797</v>
          </cell>
          <cell r="P822" t="str">
            <v>SRMC -Hospitalist Midlevels</v>
          </cell>
        </row>
        <row r="823">
          <cell r="F823">
            <v>2017</v>
          </cell>
          <cell r="L823">
            <v>73.419998168945313</v>
          </cell>
          <cell r="P823" t="str">
            <v>SRMC -Hospitalist Midlevels</v>
          </cell>
        </row>
        <row r="824">
          <cell r="F824">
            <v>2017</v>
          </cell>
          <cell r="L824">
            <v>96.050003051757813</v>
          </cell>
          <cell r="P824" t="str">
            <v>SRMC -Hospitalist Midlevels</v>
          </cell>
        </row>
        <row r="825">
          <cell r="F825">
            <v>2017</v>
          </cell>
          <cell r="L825">
            <v>129.03999328613281</v>
          </cell>
          <cell r="P825" t="str">
            <v>Hospitalist</v>
          </cell>
        </row>
        <row r="826">
          <cell r="F826">
            <v>2017</v>
          </cell>
          <cell r="L826">
            <v>218.33000183105469</v>
          </cell>
          <cell r="P826" t="str">
            <v>Hospitalist</v>
          </cell>
        </row>
        <row r="827">
          <cell r="F827">
            <v>2017</v>
          </cell>
          <cell r="L827">
            <v>70.080001831054688</v>
          </cell>
          <cell r="P827" t="str">
            <v>Hospitalist</v>
          </cell>
        </row>
        <row r="828">
          <cell r="F828">
            <v>2015</v>
          </cell>
          <cell r="L828">
            <v>166.83999633789063</v>
          </cell>
          <cell r="P828" t="str">
            <v>Hospitalist</v>
          </cell>
        </row>
        <row r="829">
          <cell r="F829">
            <v>2015</v>
          </cell>
          <cell r="L829">
            <v>22.360000610351563</v>
          </cell>
          <cell r="P829" t="str">
            <v>Hospitalist</v>
          </cell>
        </row>
        <row r="830">
          <cell r="F830">
            <v>2015</v>
          </cell>
          <cell r="L830">
            <v>1.2799999713897705</v>
          </cell>
          <cell r="P830" t="str">
            <v>Hospitalist</v>
          </cell>
        </row>
        <row r="831">
          <cell r="F831">
            <v>2015</v>
          </cell>
          <cell r="L831">
            <v>0</v>
          </cell>
          <cell r="P831" t="str">
            <v>Hospitalist</v>
          </cell>
        </row>
        <row r="832">
          <cell r="F832">
            <v>2015</v>
          </cell>
          <cell r="L832">
            <v>0</v>
          </cell>
          <cell r="P832" t="str">
            <v>Hospitalist</v>
          </cell>
        </row>
        <row r="833">
          <cell r="F833">
            <v>2016</v>
          </cell>
          <cell r="L833">
            <v>21.030000686645508</v>
          </cell>
          <cell r="P833" t="str">
            <v>NEPHROLOGY</v>
          </cell>
        </row>
        <row r="834">
          <cell r="F834">
            <v>2016</v>
          </cell>
          <cell r="L834">
            <v>8.4399995803833008</v>
          </cell>
          <cell r="P834" t="str">
            <v>NEPHROLOGY</v>
          </cell>
        </row>
        <row r="835">
          <cell r="F835">
            <v>2017</v>
          </cell>
          <cell r="L835">
            <v>6.1599998474121094</v>
          </cell>
          <cell r="P835" t="str">
            <v>NEPHROLOGY</v>
          </cell>
        </row>
        <row r="836">
          <cell r="F836">
            <v>2017</v>
          </cell>
          <cell r="L836">
            <v>17.420000076293945</v>
          </cell>
          <cell r="P836" t="str">
            <v>NEPHROLOGY</v>
          </cell>
        </row>
        <row r="837">
          <cell r="F837">
            <v>2015</v>
          </cell>
          <cell r="L837">
            <v>17.430000305175781</v>
          </cell>
          <cell r="P837" t="str">
            <v>Hospitalist</v>
          </cell>
        </row>
        <row r="838">
          <cell r="F838">
            <v>2015</v>
          </cell>
          <cell r="L838">
            <v>2.6099998950958252</v>
          </cell>
          <cell r="P838" t="str">
            <v>Hospitalist</v>
          </cell>
        </row>
        <row r="839">
          <cell r="F839">
            <v>2015</v>
          </cell>
          <cell r="L839">
            <v>2.5</v>
          </cell>
          <cell r="P839" t="str">
            <v>Hospitalist</v>
          </cell>
        </row>
        <row r="840">
          <cell r="F840">
            <v>2016</v>
          </cell>
          <cell r="L840">
            <v>3.8599998950958252</v>
          </cell>
          <cell r="P840" t="str">
            <v>Hospitalist</v>
          </cell>
        </row>
        <row r="841">
          <cell r="F841">
            <v>2016</v>
          </cell>
          <cell r="L841">
            <v>85.739997863769531</v>
          </cell>
          <cell r="P841" t="str">
            <v>Hospitalist</v>
          </cell>
        </row>
        <row r="842">
          <cell r="F842">
            <v>2015</v>
          </cell>
          <cell r="L842">
            <v>15.600000381469727</v>
          </cell>
          <cell r="P842" t="str">
            <v>PULMONARY/CRITICAL CARE</v>
          </cell>
        </row>
        <row r="843">
          <cell r="F843">
            <v>2015</v>
          </cell>
          <cell r="L843">
            <v>12.800000190734863</v>
          </cell>
          <cell r="P843" t="str">
            <v>PULMONARY/CRITICAL CARE</v>
          </cell>
        </row>
        <row r="844">
          <cell r="F844">
            <v>2015</v>
          </cell>
          <cell r="L844">
            <v>41.299999237060547</v>
          </cell>
          <cell r="P844" t="str">
            <v>PULMONARY/CRITICAL CARE</v>
          </cell>
        </row>
        <row r="845">
          <cell r="F845">
            <v>2015</v>
          </cell>
          <cell r="L845">
            <v>113.09999847412109</v>
          </cell>
          <cell r="P845" t="str">
            <v>PULMONARY/CRITICAL CARE</v>
          </cell>
        </row>
        <row r="846">
          <cell r="F846">
            <v>2015</v>
          </cell>
          <cell r="L846">
            <v>41</v>
          </cell>
          <cell r="P846" t="str">
            <v>PULMONARY/CRITICAL CARE</v>
          </cell>
        </row>
        <row r="847">
          <cell r="F847">
            <v>2015</v>
          </cell>
          <cell r="L847">
            <v>12.899999618530273</v>
          </cell>
          <cell r="P847" t="str">
            <v>PULMONARY/CRITICAL CARE</v>
          </cell>
        </row>
        <row r="848">
          <cell r="F848">
            <v>2015</v>
          </cell>
          <cell r="L848">
            <v>12.699999809265137</v>
          </cell>
          <cell r="P848" t="str">
            <v>PULMONARY/CRITICAL CARE</v>
          </cell>
        </row>
        <row r="849">
          <cell r="F849">
            <v>2015</v>
          </cell>
          <cell r="L849">
            <v>10.399999618530273</v>
          </cell>
          <cell r="P849" t="str">
            <v>PULMONARY/CRITICAL CARE</v>
          </cell>
        </row>
        <row r="850">
          <cell r="F850">
            <v>2015</v>
          </cell>
          <cell r="L850">
            <v>10.100000381469727</v>
          </cell>
          <cell r="P850" t="str">
            <v>PULMONARY/CRITICAL CARE</v>
          </cell>
        </row>
        <row r="851">
          <cell r="F851">
            <v>2015</v>
          </cell>
          <cell r="L851">
            <v>5.0999999046325684</v>
          </cell>
          <cell r="P851" t="str">
            <v>PULMONARY/CRITICAL CARE</v>
          </cell>
        </row>
        <row r="852">
          <cell r="F852">
            <v>2015</v>
          </cell>
          <cell r="L852">
            <v>15.5</v>
          </cell>
          <cell r="P852" t="str">
            <v>PULMONARY/CRITICAL CARE</v>
          </cell>
        </row>
        <row r="853">
          <cell r="F853">
            <v>2016</v>
          </cell>
          <cell r="L853">
            <v>17.799999237060547</v>
          </cell>
          <cell r="P853" t="str">
            <v>PULMONARY/CRITICAL CARE</v>
          </cell>
        </row>
        <row r="854">
          <cell r="F854">
            <v>2016</v>
          </cell>
          <cell r="L854">
            <v>7.8000001907348633</v>
          </cell>
          <cell r="P854" t="str">
            <v>PULMONARY/CRITICAL CARE</v>
          </cell>
        </row>
        <row r="855">
          <cell r="F855">
            <v>2016</v>
          </cell>
          <cell r="L855">
            <v>10.199999809265137</v>
          </cell>
          <cell r="P855" t="str">
            <v>PULMONARY/CRITICAL CARE</v>
          </cell>
        </row>
        <row r="856">
          <cell r="F856">
            <v>2016</v>
          </cell>
          <cell r="L856">
            <v>5.1999998092651367</v>
          </cell>
          <cell r="P856" t="str">
            <v>PULMONARY/CRITICAL CARE</v>
          </cell>
        </row>
        <row r="857">
          <cell r="F857">
            <v>2016</v>
          </cell>
          <cell r="L857">
            <v>7.5999999046325684</v>
          </cell>
          <cell r="P857" t="str">
            <v>PULMONARY/CRITICAL CARE</v>
          </cell>
        </row>
        <row r="858">
          <cell r="F858">
            <v>2016</v>
          </cell>
          <cell r="L858">
            <v>2.5999999046325684</v>
          </cell>
          <cell r="P858" t="str">
            <v>PULMONARY/CRITICAL CARE</v>
          </cell>
        </row>
        <row r="859">
          <cell r="F859">
            <v>2016</v>
          </cell>
          <cell r="L859">
            <v>7.8000001907348633</v>
          </cell>
          <cell r="P859" t="str">
            <v>PULMONARY/CRITICAL CARE</v>
          </cell>
        </row>
        <row r="860">
          <cell r="F860">
            <v>2016</v>
          </cell>
          <cell r="L860">
            <v>10.199999809265137</v>
          </cell>
          <cell r="P860" t="str">
            <v>PULMONARY/CRITICAL CARE</v>
          </cell>
        </row>
        <row r="861">
          <cell r="F861">
            <v>2016</v>
          </cell>
          <cell r="L861">
            <v>10.300000190734863</v>
          </cell>
          <cell r="P861" t="str">
            <v>PULMONARY/CRITICAL CARE</v>
          </cell>
        </row>
        <row r="862">
          <cell r="F862">
            <v>2016</v>
          </cell>
          <cell r="L862">
            <v>38.599998474121094</v>
          </cell>
          <cell r="P862" t="str">
            <v>PULMONARY/CRITICAL CARE</v>
          </cell>
        </row>
        <row r="863">
          <cell r="F863">
            <v>2016</v>
          </cell>
          <cell r="L863">
            <v>15.5</v>
          </cell>
          <cell r="P863" t="str">
            <v>PULMONARY/CRITICAL CARE</v>
          </cell>
        </row>
        <row r="864">
          <cell r="F864">
            <v>2016</v>
          </cell>
          <cell r="L864">
            <v>5.0999999046325684</v>
          </cell>
          <cell r="P864" t="str">
            <v>PULMONARY/CRITICAL CARE</v>
          </cell>
        </row>
        <row r="865">
          <cell r="F865">
            <v>2017</v>
          </cell>
          <cell r="L865">
            <v>35.900001525878906</v>
          </cell>
          <cell r="P865" t="str">
            <v>PULMONARY/CRITICAL CARE</v>
          </cell>
        </row>
        <row r="866">
          <cell r="F866">
            <v>2017</v>
          </cell>
          <cell r="L866">
            <v>20.700000762939453</v>
          </cell>
          <cell r="P866" t="str">
            <v>PULMONARY/CRITICAL CARE</v>
          </cell>
        </row>
        <row r="867">
          <cell r="F867">
            <v>2017</v>
          </cell>
          <cell r="L867">
            <v>10.199999809265137</v>
          </cell>
          <cell r="P867" t="str">
            <v>PULMONARY/CRITICAL CARE</v>
          </cell>
        </row>
        <row r="868">
          <cell r="F868">
            <v>2017</v>
          </cell>
          <cell r="L868">
            <v>122.80000305175781</v>
          </cell>
          <cell r="P868" t="str">
            <v>PULMONARY/CRITICAL CARE</v>
          </cell>
        </row>
        <row r="869">
          <cell r="F869">
            <v>2017</v>
          </cell>
          <cell r="L869">
            <v>91.349998474121094</v>
          </cell>
          <cell r="P869" t="str">
            <v>PULMONARY/CRITICAL CARE</v>
          </cell>
        </row>
        <row r="870">
          <cell r="F870">
            <v>2017</v>
          </cell>
          <cell r="L870">
            <v>11.449999809265137</v>
          </cell>
          <cell r="P870" t="str">
            <v>PULMONARY/CRITICAL CARE</v>
          </cell>
        </row>
        <row r="871">
          <cell r="F871">
            <v>2015</v>
          </cell>
          <cell r="L871">
            <v>444.010009765625</v>
          </cell>
          <cell r="P871" t="str">
            <v>Hospitalist</v>
          </cell>
        </row>
        <row r="872">
          <cell r="F872">
            <v>2015</v>
          </cell>
          <cell r="L872">
            <v>432.54000854492188</v>
          </cell>
          <cell r="P872" t="str">
            <v>Hospitalist</v>
          </cell>
        </row>
        <row r="873">
          <cell r="F873">
            <v>2015</v>
          </cell>
          <cell r="L873">
            <v>416.76998901367188</v>
          </cell>
          <cell r="P873" t="str">
            <v>Hospitalist</v>
          </cell>
        </row>
        <row r="874">
          <cell r="F874">
            <v>2015</v>
          </cell>
          <cell r="L874">
            <v>409.75</v>
          </cell>
          <cell r="P874" t="str">
            <v>Hospitalist</v>
          </cell>
        </row>
        <row r="875">
          <cell r="F875">
            <v>2015</v>
          </cell>
          <cell r="L875">
            <v>345.42999267578125</v>
          </cell>
          <cell r="P875" t="str">
            <v>Hospitalist</v>
          </cell>
        </row>
        <row r="876">
          <cell r="F876">
            <v>2015</v>
          </cell>
          <cell r="L876">
            <v>404.51998901367188</v>
          </cell>
          <cell r="P876" t="str">
            <v>Hospitalist</v>
          </cell>
        </row>
        <row r="877">
          <cell r="F877">
            <v>2015</v>
          </cell>
          <cell r="L877">
            <v>573.07000732421875</v>
          </cell>
          <cell r="P877" t="str">
            <v>Hospitalist</v>
          </cell>
        </row>
        <row r="878">
          <cell r="F878">
            <v>2015</v>
          </cell>
          <cell r="L878">
            <v>239.05999755859375</v>
          </cell>
          <cell r="P878" t="str">
            <v>Hospitalist</v>
          </cell>
        </row>
        <row r="879">
          <cell r="F879">
            <v>2015</v>
          </cell>
          <cell r="L879">
            <v>356.48001098632813</v>
          </cell>
          <cell r="P879" t="str">
            <v>Hospitalist</v>
          </cell>
        </row>
        <row r="880">
          <cell r="F880">
            <v>2015</v>
          </cell>
          <cell r="L880">
            <v>271.29000854492188</v>
          </cell>
          <cell r="P880" t="str">
            <v>Hospitalist</v>
          </cell>
        </row>
        <row r="881">
          <cell r="F881">
            <v>2015</v>
          </cell>
          <cell r="L881">
            <v>236.05999755859375</v>
          </cell>
          <cell r="P881" t="str">
            <v>Hospitalist</v>
          </cell>
        </row>
        <row r="882">
          <cell r="F882">
            <v>2015</v>
          </cell>
          <cell r="L882">
            <v>335.73001098632813</v>
          </cell>
          <cell r="P882" t="str">
            <v>Hospitalist</v>
          </cell>
        </row>
        <row r="883">
          <cell r="F883">
            <v>2016</v>
          </cell>
          <cell r="L883">
            <v>327.52999877929688</v>
          </cell>
          <cell r="P883" t="str">
            <v>Hospitalist</v>
          </cell>
        </row>
        <row r="884">
          <cell r="F884">
            <v>2016</v>
          </cell>
          <cell r="L884">
            <v>5.0500001907348633</v>
          </cell>
          <cell r="P884" t="str">
            <v>Hospitalist</v>
          </cell>
        </row>
        <row r="885">
          <cell r="F885">
            <v>2016</v>
          </cell>
          <cell r="L885">
            <v>0</v>
          </cell>
          <cell r="P885" t="str">
            <v>Hospitalist</v>
          </cell>
        </row>
        <row r="886">
          <cell r="F886">
            <v>2015</v>
          </cell>
          <cell r="L886">
            <v>19.409999847412109</v>
          </cell>
          <cell r="P886" t="str">
            <v>Hospitalist</v>
          </cell>
        </row>
        <row r="887">
          <cell r="F887">
            <v>2015</v>
          </cell>
          <cell r="L887">
            <v>2.6099998950958252</v>
          </cell>
          <cell r="P887" t="str">
            <v>Hospitalist</v>
          </cell>
        </row>
        <row r="888">
          <cell r="F888">
            <v>2015</v>
          </cell>
          <cell r="L888">
            <v>80.930000305175781</v>
          </cell>
          <cell r="P888" t="str">
            <v>Hospitalist</v>
          </cell>
        </row>
        <row r="889">
          <cell r="F889">
            <v>2015</v>
          </cell>
          <cell r="L889">
            <v>-45.209999084472656</v>
          </cell>
          <cell r="P889" t="str">
            <v>Hospitalist</v>
          </cell>
        </row>
        <row r="890">
          <cell r="F890">
            <v>2016</v>
          </cell>
          <cell r="L890">
            <v>-35.720001220703125</v>
          </cell>
          <cell r="P890" t="str">
            <v>Hospitalist</v>
          </cell>
        </row>
        <row r="891">
          <cell r="F891">
            <v>2015</v>
          </cell>
          <cell r="L891">
            <v>61.279998779296875</v>
          </cell>
          <cell r="P891" t="str">
            <v>SRMC -Hospitalist Midlevels</v>
          </cell>
        </row>
        <row r="892">
          <cell r="F892">
            <v>2015</v>
          </cell>
          <cell r="L892">
            <v>137.35000610351563</v>
          </cell>
          <cell r="P892" t="str">
            <v>SRMC -Hospitalist Midlevels</v>
          </cell>
        </row>
        <row r="893">
          <cell r="F893">
            <v>2015</v>
          </cell>
          <cell r="L893">
            <v>206.3800048828125</v>
          </cell>
          <cell r="P893" t="str">
            <v>SRMC -Hospitalist Midlevels</v>
          </cell>
        </row>
        <row r="894">
          <cell r="F894">
            <v>2015</v>
          </cell>
          <cell r="L894">
            <v>198.38999938964844</v>
          </cell>
          <cell r="P894" t="str">
            <v>SRMC -Hospitalist Midlevels</v>
          </cell>
        </row>
        <row r="895">
          <cell r="F895">
            <v>2015</v>
          </cell>
          <cell r="L895">
            <v>145.22000122070313</v>
          </cell>
          <cell r="P895" t="str">
            <v>SRMC -Hospitalist Midlevels</v>
          </cell>
        </row>
        <row r="896">
          <cell r="F896">
            <v>2015</v>
          </cell>
          <cell r="L896">
            <v>97.239997863769531</v>
          </cell>
          <cell r="P896" t="str">
            <v>SRMC -Hospitalist Midlevels</v>
          </cell>
        </row>
        <row r="897">
          <cell r="F897">
            <v>2015</v>
          </cell>
          <cell r="L897">
            <v>193.58999633789063</v>
          </cell>
          <cell r="P897" t="str">
            <v>SRMC -Hospitalist Midlevels</v>
          </cell>
        </row>
        <row r="898">
          <cell r="F898">
            <v>2015</v>
          </cell>
          <cell r="L898">
            <v>194.57000732421875</v>
          </cell>
          <cell r="P898" t="str">
            <v>SRMC -Hospitalist Midlevels</v>
          </cell>
        </row>
        <row r="899">
          <cell r="F899">
            <v>2015</v>
          </cell>
          <cell r="L899">
            <v>224.86000061035156</v>
          </cell>
          <cell r="P899" t="str">
            <v>SRMC -Hospitalist Midlevels</v>
          </cell>
        </row>
        <row r="900">
          <cell r="F900">
            <v>2015</v>
          </cell>
          <cell r="L900">
            <v>107.06999969482422</v>
          </cell>
          <cell r="P900" t="str">
            <v>SRMC -Hospitalist Midlevels</v>
          </cell>
        </row>
        <row r="901">
          <cell r="F901">
            <v>2015</v>
          </cell>
          <cell r="L901">
            <v>139.75999450683594</v>
          </cell>
          <cell r="P901" t="str">
            <v>SRMC -Hospitalist Midlevels</v>
          </cell>
        </row>
        <row r="902">
          <cell r="F902">
            <v>2015</v>
          </cell>
          <cell r="L902">
            <v>217.72000122070313</v>
          </cell>
          <cell r="P902" t="str">
            <v>SRMC -Hospitalist Midlevels</v>
          </cell>
        </row>
        <row r="903">
          <cell r="F903">
            <v>2016</v>
          </cell>
          <cell r="L903">
            <v>227.36000061035156</v>
          </cell>
          <cell r="P903" t="str">
            <v>SRMC -Hospitalist Midlevels</v>
          </cell>
        </row>
        <row r="904">
          <cell r="F904">
            <v>2016</v>
          </cell>
          <cell r="L904">
            <v>176.72999572753906</v>
          </cell>
          <cell r="P904" t="str">
            <v>SRMC -Hospitalist Midlevels</v>
          </cell>
        </row>
        <row r="905">
          <cell r="F905">
            <v>2016</v>
          </cell>
          <cell r="L905">
            <v>344.41000366210938</v>
          </cell>
          <cell r="P905" t="str">
            <v>SRMC -Hospitalist Midlevels</v>
          </cell>
        </row>
        <row r="906">
          <cell r="F906">
            <v>2016</v>
          </cell>
          <cell r="L906">
            <v>173.32000732421875</v>
          </cell>
          <cell r="P906" t="str">
            <v>SRMC -Hospitalist Midlevels</v>
          </cell>
        </row>
        <row r="907">
          <cell r="F907">
            <v>2016</v>
          </cell>
          <cell r="L907">
            <v>155.69999694824219</v>
          </cell>
          <cell r="P907" t="str">
            <v>SRMC -Hospitalist Midlevels</v>
          </cell>
        </row>
        <row r="908">
          <cell r="F908">
            <v>2016</v>
          </cell>
          <cell r="L908">
            <v>341.58999633789063</v>
          </cell>
          <cell r="P908" t="str">
            <v>SRMC -Hospitalist Midlevels</v>
          </cell>
        </row>
        <row r="909">
          <cell r="F909">
            <v>2016</v>
          </cell>
          <cell r="L909">
            <v>182.55999755859375</v>
          </cell>
          <cell r="P909" t="str">
            <v>SRMC -Hospitalist Midlevels</v>
          </cell>
        </row>
        <row r="910">
          <cell r="F910">
            <v>2016</v>
          </cell>
          <cell r="L910">
            <v>224.02999877929688</v>
          </cell>
          <cell r="P910" t="str">
            <v>SRMC -Hospitalist Midlevels</v>
          </cell>
        </row>
        <row r="911">
          <cell r="F911">
            <v>2016</v>
          </cell>
          <cell r="L911">
            <v>235.42999267578125</v>
          </cell>
          <cell r="P911" t="str">
            <v>SRMC -Hospitalist Midlevels</v>
          </cell>
        </row>
        <row r="912">
          <cell r="F912">
            <v>2016</v>
          </cell>
          <cell r="L912">
            <v>198.16000366210938</v>
          </cell>
          <cell r="P912" t="str">
            <v>SRMC -Hospitalist Midlevels</v>
          </cell>
        </row>
        <row r="913">
          <cell r="F913">
            <v>2016</v>
          </cell>
          <cell r="L913">
            <v>259.739990234375</v>
          </cell>
          <cell r="P913" t="str">
            <v>SRMC -Hospitalist Midlevels</v>
          </cell>
        </row>
        <row r="914">
          <cell r="F914">
            <v>2016</v>
          </cell>
          <cell r="L914">
            <v>283.1400146484375</v>
          </cell>
          <cell r="P914" t="str">
            <v>SRMC -Hospitalist Midlevels</v>
          </cell>
        </row>
        <row r="915">
          <cell r="F915">
            <v>2017</v>
          </cell>
          <cell r="L915">
            <v>294.91000366210938</v>
          </cell>
          <cell r="P915" t="str">
            <v>SRMC -Hospitalist Midlevels</v>
          </cell>
        </row>
        <row r="916">
          <cell r="F916">
            <v>2017</v>
          </cell>
          <cell r="L916">
            <v>221.75</v>
          </cell>
          <cell r="P916" t="str">
            <v>SRMC -Hospitalist Midlevels</v>
          </cell>
        </row>
        <row r="917">
          <cell r="F917">
            <v>2017</v>
          </cell>
          <cell r="L917">
            <v>76.019996643066406</v>
          </cell>
          <cell r="P917" t="str">
            <v>SRMC -Hospitalist Midlevels</v>
          </cell>
        </row>
        <row r="918">
          <cell r="F918">
            <v>2017</v>
          </cell>
          <cell r="L918">
            <v>166.32000732421875</v>
          </cell>
          <cell r="P918" t="str">
            <v>SRMC -Hospitalist Midlevels</v>
          </cell>
        </row>
        <row r="919">
          <cell r="F919">
            <v>2017</v>
          </cell>
          <cell r="L919">
            <v>145.49000549316406</v>
          </cell>
          <cell r="P919" t="str">
            <v>SRMC -Hospitalist Midlevels</v>
          </cell>
        </row>
        <row r="920">
          <cell r="F920">
            <v>2017</v>
          </cell>
          <cell r="L920">
            <v>118.27999877929688</v>
          </cell>
          <cell r="P920" t="str">
            <v>SRMC -Hospitalist Midlevels</v>
          </cell>
        </row>
        <row r="921">
          <cell r="F921">
            <v>2016</v>
          </cell>
          <cell r="L921">
            <v>81.139999389648438</v>
          </cell>
          <cell r="P921" t="str">
            <v>Hospitalist</v>
          </cell>
        </row>
        <row r="922">
          <cell r="F922">
            <v>2016</v>
          </cell>
          <cell r="L922">
            <v>1.2799999713897705</v>
          </cell>
          <cell r="P922" t="str">
            <v>Hospitalist</v>
          </cell>
        </row>
        <row r="923">
          <cell r="F923">
            <v>2016</v>
          </cell>
          <cell r="L923">
            <v>21.870000839233398</v>
          </cell>
          <cell r="P923" t="str">
            <v>Hospitalist</v>
          </cell>
        </row>
        <row r="924">
          <cell r="F924">
            <v>2016</v>
          </cell>
          <cell r="L924">
            <v>6.5300002098083496</v>
          </cell>
          <cell r="P924" t="str">
            <v>NEPHROLOGY</v>
          </cell>
        </row>
        <row r="925">
          <cell r="F925">
            <v>2016</v>
          </cell>
          <cell r="L925">
            <v>10.949999809265137</v>
          </cell>
          <cell r="P925" t="str">
            <v>NEPHROLOGY</v>
          </cell>
        </row>
        <row r="926">
          <cell r="F926">
            <v>2017</v>
          </cell>
          <cell r="L926">
            <v>5.3400001525878906</v>
          </cell>
          <cell r="P926" t="str">
            <v>NEPHROLOGY</v>
          </cell>
        </row>
        <row r="927">
          <cell r="F927">
            <v>2016</v>
          </cell>
          <cell r="L927">
            <v>0.97000002861022949</v>
          </cell>
          <cell r="P927" t="str">
            <v>UNMMG Midlevel</v>
          </cell>
        </row>
        <row r="928">
          <cell r="F928">
            <v>2016</v>
          </cell>
          <cell r="L928">
            <v>5.7600002288818359</v>
          </cell>
          <cell r="P928" t="str">
            <v>UNMMG Midlevel</v>
          </cell>
        </row>
        <row r="929">
          <cell r="F929">
            <v>2016</v>
          </cell>
          <cell r="L929">
            <v>0.97000002861022949</v>
          </cell>
          <cell r="P929" t="str">
            <v>UNMMG Midlevel</v>
          </cell>
        </row>
        <row r="930">
          <cell r="F930">
            <v>2016</v>
          </cell>
          <cell r="L930">
            <v>0</v>
          </cell>
          <cell r="P930" t="str">
            <v>UNMMG Midlevel</v>
          </cell>
        </row>
        <row r="931">
          <cell r="F931">
            <v>2015</v>
          </cell>
          <cell r="L931">
            <v>54.979999542236328</v>
          </cell>
          <cell r="P931" t="str">
            <v>Hospitalist</v>
          </cell>
        </row>
        <row r="932">
          <cell r="F932">
            <v>2015</v>
          </cell>
          <cell r="L932">
            <v>-51.119998931884766</v>
          </cell>
          <cell r="P932" t="str">
            <v>Hospitalist</v>
          </cell>
        </row>
        <row r="933">
          <cell r="F933">
            <v>2016</v>
          </cell>
          <cell r="L933">
            <v>-3.8599998950958252</v>
          </cell>
          <cell r="P933" t="str">
            <v>Hospitalist</v>
          </cell>
        </row>
        <row r="934">
          <cell r="F934">
            <v>2015</v>
          </cell>
          <cell r="L934">
            <v>0</v>
          </cell>
          <cell r="P934" t="str">
            <v>Hospitalist</v>
          </cell>
        </row>
        <row r="935">
          <cell r="F935">
            <v>2015</v>
          </cell>
          <cell r="L935">
            <v>0</v>
          </cell>
          <cell r="P935" t="str">
            <v>Hospitalist</v>
          </cell>
        </row>
        <row r="936">
          <cell r="F936">
            <v>2015</v>
          </cell>
          <cell r="L936">
            <v>31.379999160766602</v>
          </cell>
          <cell r="P936" t="str">
            <v>NEPHROLOGY</v>
          </cell>
        </row>
        <row r="937">
          <cell r="F937">
            <v>2015</v>
          </cell>
          <cell r="L937">
            <v>43.229999542236328</v>
          </cell>
          <cell r="P937" t="str">
            <v>NEPHROLOGY</v>
          </cell>
        </row>
        <row r="938">
          <cell r="F938">
            <v>2015</v>
          </cell>
          <cell r="L938">
            <v>31.020000457763672</v>
          </cell>
          <cell r="P938" t="str">
            <v>NEPHROLOGY</v>
          </cell>
        </row>
        <row r="939">
          <cell r="F939">
            <v>2015</v>
          </cell>
          <cell r="L939">
            <v>46.75</v>
          </cell>
          <cell r="P939" t="str">
            <v>NEPHROLOGY</v>
          </cell>
        </row>
        <row r="940">
          <cell r="F940">
            <v>2015</v>
          </cell>
          <cell r="L940">
            <v>44.770000457763672</v>
          </cell>
          <cell r="P940" t="str">
            <v>NEPHROLOGY</v>
          </cell>
        </row>
        <row r="941">
          <cell r="F941">
            <v>2015</v>
          </cell>
          <cell r="L941">
            <v>2.6099998950958252</v>
          </cell>
          <cell r="P941" t="str">
            <v>NEPHROLOGY</v>
          </cell>
        </row>
        <row r="942">
          <cell r="F942">
            <v>2015</v>
          </cell>
          <cell r="L942">
            <v>88.379997253417969</v>
          </cell>
          <cell r="P942" t="str">
            <v>NEPHROLOGY</v>
          </cell>
        </row>
        <row r="943">
          <cell r="F943">
            <v>2015</v>
          </cell>
          <cell r="L943">
            <v>95.410003662109375</v>
          </cell>
          <cell r="P943" t="str">
            <v>NEPHROLOGY</v>
          </cell>
        </row>
        <row r="944">
          <cell r="F944">
            <v>2015</v>
          </cell>
          <cell r="L944">
            <v>34.709999084472656</v>
          </cell>
          <cell r="P944" t="str">
            <v>NEPHROLOGY</v>
          </cell>
        </row>
        <row r="945">
          <cell r="F945">
            <v>2015</v>
          </cell>
          <cell r="L945">
            <v>76.110000610351563</v>
          </cell>
          <cell r="P945" t="str">
            <v>NEPHROLOGY</v>
          </cell>
        </row>
        <row r="946">
          <cell r="F946">
            <v>2015</v>
          </cell>
          <cell r="L946">
            <v>48.270000457763672</v>
          </cell>
          <cell r="P946" t="str">
            <v>NEPHROLOGY</v>
          </cell>
        </row>
        <row r="947">
          <cell r="F947">
            <v>2015</v>
          </cell>
          <cell r="L947">
            <v>54.479999542236328</v>
          </cell>
          <cell r="P947" t="str">
            <v>NEPHROLOGY</v>
          </cell>
        </row>
        <row r="948">
          <cell r="F948">
            <v>2016</v>
          </cell>
          <cell r="L948">
            <v>41.810001373291016</v>
          </cell>
          <cell r="P948" t="str">
            <v>NEPHROLOGY</v>
          </cell>
        </row>
        <row r="949">
          <cell r="F949">
            <v>2016</v>
          </cell>
          <cell r="L949">
            <v>27.129999160766602</v>
          </cell>
          <cell r="P949" t="str">
            <v>NEPHROLOGY</v>
          </cell>
        </row>
        <row r="950">
          <cell r="F950">
            <v>2016</v>
          </cell>
          <cell r="L950">
            <v>68.94000244140625</v>
          </cell>
          <cell r="P950" t="str">
            <v>NEPHROLOGY</v>
          </cell>
        </row>
        <row r="951">
          <cell r="F951">
            <v>2016</v>
          </cell>
          <cell r="L951">
            <v>25.040000915527344</v>
          </cell>
          <cell r="P951" t="str">
            <v>NEPHROLOGY</v>
          </cell>
        </row>
        <row r="952">
          <cell r="F952">
            <v>2016</v>
          </cell>
          <cell r="L952">
            <v>73.269996643066406</v>
          </cell>
          <cell r="P952" t="str">
            <v>NEPHROLOGY</v>
          </cell>
        </row>
        <row r="953">
          <cell r="F953">
            <v>2016</v>
          </cell>
          <cell r="L953">
            <v>42.479999542236328</v>
          </cell>
          <cell r="P953" t="str">
            <v>NEPHROLOGY</v>
          </cell>
        </row>
        <row r="954">
          <cell r="F954">
            <v>2016</v>
          </cell>
          <cell r="L954">
            <v>56.069999694824219</v>
          </cell>
          <cell r="P954" t="str">
            <v>NEPHROLOGY</v>
          </cell>
        </row>
        <row r="955">
          <cell r="F955">
            <v>2016</v>
          </cell>
          <cell r="L955">
            <v>45.770000457763672</v>
          </cell>
          <cell r="P955" t="str">
            <v>NEPHROLOGY</v>
          </cell>
        </row>
        <row r="956">
          <cell r="F956">
            <v>2016</v>
          </cell>
          <cell r="L956">
            <v>31.870000839233398</v>
          </cell>
          <cell r="P956" t="str">
            <v>NEPHROLOGY</v>
          </cell>
        </row>
        <row r="957">
          <cell r="F957">
            <v>2016</v>
          </cell>
          <cell r="L957">
            <v>72.510002136230469</v>
          </cell>
          <cell r="P957" t="str">
            <v>NEPHROLOGY</v>
          </cell>
        </row>
        <row r="958">
          <cell r="F958">
            <v>2016</v>
          </cell>
          <cell r="L958">
            <v>43</v>
          </cell>
          <cell r="P958" t="str">
            <v>NEPHROLOGY</v>
          </cell>
        </row>
        <row r="959">
          <cell r="F959">
            <v>2016</v>
          </cell>
          <cell r="L959">
            <v>49.599998474121094</v>
          </cell>
          <cell r="P959" t="str">
            <v>NEPHROLOGY</v>
          </cell>
        </row>
        <row r="960">
          <cell r="F960">
            <v>2017</v>
          </cell>
          <cell r="L960">
            <v>62.619998931884766</v>
          </cell>
          <cell r="P960" t="str">
            <v>NEPHROLOGY</v>
          </cell>
        </row>
        <row r="961">
          <cell r="F961">
            <v>2017</v>
          </cell>
          <cell r="L961">
            <v>89.669998168945313</v>
          </cell>
          <cell r="P961" t="str">
            <v>NEPHROLOGY</v>
          </cell>
        </row>
        <row r="962">
          <cell r="F962">
            <v>2017</v>
          </cell>
          <cell r="L962">
            <v>55.779998779296875</v>
          </cell>
          <cell r="P962" t="str">
            <v>NEPHROLOGY</v>
          </cell>
        </row>
        <row r="963">
          <cell r="F963">
            <v>2017</v>
          </cell>
          <cell r="L963">
            <v>72.239997863769531</v>
          </cell>
          <cell r="P963" t="str">
            <v>NEPHROLOGY</v>
          </cell>
        </row>
        <row r="964">
          <cell r="F964">
            <v>2017</v>
          </cell>
          <cell r="L964">
            <v>3</v>
          </cell>
          <cell r="P964" t="str">
            <v>NEPHROLOGY</v>
          </cell>
        </row>
        <row r="965">
          <cell r="F965">
            <v>2017</v>
          </cell>
          <cell r="L965">
            <v>36.930000305175781</v>
          </cell>
          <cell r="P965" t="str">
            <v>NEPHROLOGY</v>
          </cell>
        </row>
        <row r="966">
          <cell r="F966">
            <v>2016</v>
          </cell>
          <cell r="L966">
            <v>24.049999237060547</v>
          </cell>
          <cell r="P966" t="str">
            <v>Hospitalist</v>
          </cell>
        </row>
        <row r="967">
          <cell r="F967">
            <v>2016</v>
          </cell>
          <cell r="L967">
            <v>254.61000061035156</v>
          </cell>
          <cell r="P967" t="str">
            <v>Hospitalist</v>
          </cell>
        </row>
        <row r="968">
          <cell r="F968">
            <v>2016</v>
          </cell>
          <cell r="L968">
            <v>437.1099853515625</v>
          </cell>
          <cell r="P968" t="str">
            <v>Hospitalist</v>
          </cell>
        </row>
        <row r="969">
          <cell r="F969">
            <v>2016</v>
          </cell>
          <cell r="L969">
            <v>372.25</v>
          </cell>
          <cell r="P969" t="str">
            <v>Hospitalist</v>
          </cell>
        </row>
        <row r="970">
          <cell r="F970">
            <v>2016</v>
          </cell>
          <cell r="L970">
            <v>279.3699951171875</v>
          </cell>
          <cell r="P970" t="str">
            <v>Hospitalist</v>
          </cell>
        </row>
        <row r="971">
          <cell r="F971">
            <v>2016</v>
          </cell>
          <cell r="L971">
            <v>298.35000610351563</v>
          </cell>
          <cell r="P971" t="str">
            <v>Hospitalist</v>
          </cell>
        </row>
        <row r="972">
          <cell r="F972">
            <v>2016</v>
          </cell>
          <cell r="L972">
            <v>146.27999877929688</v>
          </cell>
          <cell r="P972" t="str">
            <v>Hospitalist</v>
          </cell>
        </row>
        <row r="973">
          <cell r="F973">
            <v>2016</v>
          </cell>
          <cell r="L973">
            <v>231.10000610351563</v>
          </cell>
          <cell r="P973" t="str">
            <v>Hospitalist</v>
          </cell>
        </row>
        <row r="974">
          <cell r="F974">
            <v>2016</v>
          </cell>
          <cell r="L974">
            <v>263.3699951171875</v>
          </cell>
          <cell r="P974" t="str">
            <v>Hospitalist</v>
          </cell>
        </row>
        <row r="975">
          <cell r="F975">
            <v>2017</v>
          </cell>
          <cell r="L975">
            <v>357.23001098632813</v>
          </cell>
          <cell r="P975" t="str">
            <v>Hospitalist</v>
          </cell>
        </row>
        <row r="976">
          <cell r="F976">
            <v>2017</v>
          </cell>
          <cell r="L976">
            <v>222.83999633789063</v>
          </cell>
          <cell r="P976" t="str">
            <v>Hospitalist</v>
          </cell>
        </row>
        <row r="977">
          <cell r="F977">
            <v>2017</v>
          </cell>
          <cell r="L977">
            <v>180.42999267578125</v>
          </cell>
          <cell r="P977" t="str">
            <v>Hospitalist</v>
          </cell>
        </row>
        <row r="978">
          <cell r="F978">
            <v>2017</v>
          </cell>
          <cell r="L978">
            <v>201.3800048828125</v>
          </cell>
          <cell r="P978" t="str">
            <v>Hospitalist</v>
          </cell>
        </row>
        <row r="979">
          <cell r="F979">
            <v>2017</v>
          </cell>
          <cell r="L979">
            <v>192.30999755859375</v>
          </cell>
          <cell r="P979" t="str">
            <v>Hospitalist</v>
          </cell>
        </row>
        <row r="980">
          <cell r="F980">
            <v>2017</v>
          </cell>
          <cell r="L980">
            <v>126.20999908447266</v>
          </cell>
          <cell r="P980" t="str">
            <v>Hospitalist</v>
          </cell>
        </row>
        <row r="981">
          <cell r="F981">
            <v>2015</v>
          </cell>
          <cell r="L981">
            <v>150.88999938964844</v>
          </cell>
          <cell r="P981" t="str">
            <v>RHEUMATOLOGY</v>
          </cell>
        </row>
        <row r="982">
          <cell r="F982">
            <v>2015</v>
          </cell>
          <cell r="L982">
            <v>128.10000610351563</v>
          </cell>
          <cell r="P982" t="str">
            <v>RHEUMATOLOGY</v>
          </cell>
        </row>
        <row r="983">
          <cell r="F983">
            <v>2015</v>
          </cell>
          <cell r="L983">
            <v>133.6300048828125</v>
          </cell>
          <cell r="P983" t="str">
            <v>RHEUMATOLOGY</v>
          </cell>
        </row>
        <row r="984">
          <cell r="F984">
            <v>2015</v>
          </cell>
          <cell r="L984">
            <v>138.72000122070313</v>
          </cell>
          <cell r="P984" t="str">
            <v>RHEUMATOLOGY</v>
          </cell>
        </row>
        <row r="985">
          <cell r="F985">
            <v>2015</v>
          </cell>
          <cell r="L985">
            <v>121.36000061035156</v>
          </cell>
          <cell r="P985" t="str">
            <v>RHEUMATOLOGY</v>
          </cell>
        </row>
        <row r="986">
          <cell r="F986">
            <v>2015</v>
          </cell>
          <cell r="L986">
            <v>105.44000244140625</v>
          </cell>
          <cell r="P986" t="str">
            <v>RHEUMATOLOGY</v>
          </cell>
        </row>
        <row r="987">
          <cell r="F987">
            <v>2015</v>
          </cell>
          <cell r="L987">
            <v>93.639999389648438</v>
          </cell>
          <cell r="P987" t="str">
            <v>RHEUMATOLOGY</v>
          </cell>
        </row>
        <row r="988">
          <cell r="F988">
            <v>2015</v>
          </cell>
          <cell r="L988">
            <v>106.40000152587891</v>
          </cell>
          <cell r="P988" t="str">
            <v>RHEUMATOLOGY</v>
          </cell>
        </row>
        <row r="989">
          <cell r="F989">
            <v>2015</v>
          </cell>
          <cell r="L989">
            <v>134.13999938964844</v>
          </cell>
          <cell r="P989" t="str">
            <v>RHEUMATOLOGY</v>
          </cell>
        </row>
        <row r="990">
          <cell r="F990">
            <v>2015</v>
          </cell>
          <cell r="L990">
            <v>143.41000366210938</v>
          </cell>
          <cell r="P990" t="str">
            <v>RHEUMATOLOGY</v>
          </cell>
        </row>
        <row r="991">
          <cell r="F991">
            <v>2015</v>
          </cell>
          <cell r="L991">
            <v>105.72000122070313</v>
          </cell>
          <cell r="P991" t="str">
            <v>RHEUMATOLOGY</v>
          </cell>
        </row>
        <row r="992">
          <cell r="F992">
            <v>2015</v>
          </cell>
          <cell r="L992">
            <v>114.80999755859375</v>
          </cell>
          <cell r="P992" t="str">
            <v>RHEUMATOLOGY</v>
          </cell>
        </row>
        <row r="993">
          <cell r="F993">
            <v>2016</v>
          </cell>
          <cell r="L993">
            <v>14.989999771118164</v>
          </cell>
          <cell r="P993" t="str">
            <v>RHEUMATOLOGY</v>
          </cell>
        </row>
        <row r="994">
          <cell r="F994">
            <v>2016</v>
          </cell>
          <cell r="L994">
            <v>7.5799999237060547</v>
          </cell>
          <cell r="P994" t="str">
            <v>RHEUMATOLOGY</v>
          </cell>
        </row>
        <row r="995">
          <cell r="F995">
            <v>2016</v>
          </cell>
          <cell r="L995">
            <v>0.54000002145767212</v>
          </cell>
          <cell r="P995" t="str">
            <v>RHEUMATOLOGY</v>
          </cell>
        </row>
        <row r="996">
          <cell r="F996">
            <v>2017</v>
          </cell>
          <cell r="L996">
            <v>29.020000457763672</v>
          </cell>
          <cell r="P996" t="str">
            <v>Hospitalist</v>
          </cell>
        </row>
        <row r="997">
          <cell r="F997">
            <v>2017</v>
          </cell>
          <cell r="L997">
            <v>188.55999755859375</v>
          </cell>
          <cell r="P997" t="str">
            <v>Hospitalist</v>
          </cell>
        </row>
        <row r="998">
          <cell r="F998">
            <v>2017</v>
          </cell>
          <cell r="L998">
            <v>223.82000732421875</v>
          </cell>
          <cell r="P998" t="str">
            <v>Hospitalist</v>
          </cell>
        </row>
        <row r="999">
          <cell r="F999">
            <v>2017</v>
          </cell>
          <cell r="L999">
            <v>192.39999389648438</v>
          </cell>
          <cell r="P999" t="str">
            <v>Hospitalist</v>
          </cell>
        </row>
        <row r="1000">
          <cell r="F1000">
            <v>2015</v>
          </cell>
          <cell r="L1000">
            <v>5.3899998664855957</v>
          </cell>
          <cell r="P1000" t="str">
            <v>NEPHROLOGY</v>
          </cell>
        </row>
        <row r="1001">
          <cell r="F1001">
            <v>2015</v>
          </cell>
          <cell r="L1001">
            <v>4.2600002288818359</v>
          </cell>
          <cell r="P1001" t="str">
            <v>NEPHROLOGY</v>
          </cell>
        </row>
        <row r="1002">
          <cell r="F1002">
            <v>2015</v>
          </cell>
          <cell r="L1002">
            <v>5.6500000953674316</v>
          </cell>
          <cell r="P1002" t="str">
            <v>NEPHROLOGY</v>
          </cell>
        </row>
        <row r="1003">
          <cell r="F1003">
            <v>2015</v>
          </cell>
          <cell r="L1003">
            <v>2.6099998950958252</v>
          </cell>
          <cell r="P1003" t="str">
            <v>NEPHROLOGY</v>
          </cell>
        </row>
        <row r="1004">
          <cell r="F1004">
            <v>2015</v>
          </cell>
          <cell r="L1004">
            <v>1.3899999856948853</v>
          </cell>
          <cell r="P1004" t="str">
            <v>NEPHROLOGY</v>
          </cell>
        </row>
        <row r="1005">
          <cell r="F1005">
            <v>2015</v>
          </cell>
          <cell r="L1005">
            <v>6.869999885559082</v>
          </cell>
          <cell r="P1005" t="str">
            <v>NEPHROLOGY</v>
          </cell>
        </row>
        <row r="1006">
          <cell r="F1006">
            <v>2015</v>
          </cell>
          <cell r="L1006">
            <v>2.7799999713897705</v>
          </cell>
          <cell r="P1006" t="str">
            <v>NEPHROLOGY</v>
          </cell>
        </row>
        <row r="1007">
          <cell r="F1007">
            <v>2015</v>
          </cell>
          <cell r="L1007">
            <v>1.4800000190734863</v>
          </cell>
          <cell r="P1007" t="str">
            <v>NEPHROLOGY</v>
          </cell>
        </row>
        <row r="1008">
          <cell r="F1008">
            <v>2016</v>
          </cell>
          <cell r="L1008">
            <v>4</v>
          </cell>
          <cell r="P1008" t="str">
            <v>NEPHROLOGY</v>
          </cell>
        </row>
        <row r="1009">
          <cell r="F1009">
            <v>2016</v>
          </cell>
          <cell r="L1009">
            <v>1.3899999856948853</v>
          </cell>
          <cell r="P1009" t="str">
            <v>NEPHROLOGY</v>
          </cell>
        </row>
        <row r="1010">
          <cell r="F1010">
            <v>2016</v>
          </cell>
          <cell r="L1010">
            <v>2.6099998950958252</v>
          </cell>
          <cell r="P1010" t="str">
            <v>NEPHROLOGY</v>
          </cell>
        </row>
        <row r="1011">
          <cell r="F1011">
            <v>2016</v>
          </cell>
          <cell r="L1011">
            <v>2.6099998950958252</v>
          </cell>
          <cell r="P1011" t="str">
            <v>NEPHROLOGY</v>
          </cell>
        </row>
        <row r="1012">
          <cell r="F1012">
            <v>2016</v>
          </cell>
          <cell r="L1012">
            <v>4</v>
          </cell>
          <cell r="P1012" t="str">
            <v>NEPHROLOGY</v>
          </cell>
        </row>
        <row r="1013">
          <cell r="F1013">
            <v>2016</v>
          </cell>
          <cell r="L1013">
            <v>4</v>
          </cell>
          <cell r="P1013" t="str">
            <v>NEPHROLOGY</v>
          </cell>
        </row>
        <row r="1014">
          <cell r="F1014">
            <v>2017</v>
          </cell>
          <cell r="L1014">
            <v>10.470000267028809</v>
          </cell>
          <cell r="P1014" t="str">
            <v>NEPHROLOGY</v>
          </cell>
        </row>
        <row r="1015">
          <cell r="F1015">
            <v>2015</v>
          </cell>
          <cell r="L1015">
            <v>0</v>
          </cell>
          <cell r="P1015" t="str">
            <v>UNMMG Midlevel</v>
          </cell>
        </row>
        <row r="1016">
          <cell r="F1016">
            <v>2015</v>
          </cell>
          <cell r="L1016">
            <v>96.110000610351563</v>
          </cell>
          <cell r="P1016" t="str">
            <v>UNMMG Midlevel</v>
          </cell>
        </row>
        <row r="1017">
          <cell r="F1017">
            <v>2015</v>
          </cell>
          <cell r="L1017">
            <v>112.95999908447266</v>
          </cell>
          <cell r="P1017" t="str">
            <v>UNMMG Midlevel</v>
          </cell>
        </row>
        <row r="1018">
          <cell r="F1018">
            <v>2015</v>
          </cell>
          <cell r="L1018">
            <v>105.87999725341797</v>
          </cell>
          <cell r="P1018" t="str">
            <v>UNMMG Midlevel</v>
          </cell>
        </row>
        <row r="1019">
          <cell r="F1019">
            <v>2016</v>
          </cell>
          <cell r="L1019">
            <v>89.910003662109375</v>
          </cell>
          <cell r="P1019" t="str">
            <v>UNMMG Midlevel</v>
          </cell>
        </row>
        <row r="1020">
          <cell r="F1020">
            <v>2016</v>
          </cell>
          <cell r="L1020">
            <v>235.75</v>
          </cell>
          <cell r="P1020" t="str">
            <v>UNMMG Midlevel</v>
          </cell>
        </row>
        <row r="1021">
          <cell r="F1021">
            <v>2016</v>
          </cell>
          <cell r="L1021">
            <v>557.530029296875</v>
          </cell>
          <cell r="P1021" t="str">
            <v>UNMMG Midlevel</v>
          </cell>
        </row>
        <row r="1022">
          <cell r="F1022">
            <v>2016</v>
          </cell>
          <cell r="L1022">
            <v>118.01000213623047</v>
          </cell>
          <cell r="P1022" t="str">
            <v>UNMMG Midlevel</v>
          </cell>
        </row>
        <row r="1023">
          <cell r="F1023">
            <v>2016</v>
          </cell>
          <cell r="L1023">
            <v>136.64999389648438</v>
          </cell>
          <cell r="P1023" t="str">
            <v>UNMMG Midlevel</v>
          </cell>
        </row>
        <row r="1024">
          <cell r="F1024">
            <v>2016</v>
          </cell>
          <cell r="L1024">
            <v>162.80000305175781</v>
          </cell>
          <cell r="P1024" t="str">
            <v>UNMMG Midlevel</v>
          </cell>
        </row>
        <row r="1025">
          <cell r="F1025">
            <v>2016</v>
          </cell>
          <cell r="L1025">
            <v>423.010009765625</v>
          </cell>
          <cell r="P1025" t="str">
            <v>UNMMG Midlevel</v>
          </cell>
        </row>
        <row r="1026">
          <cell r="F1026">
            <v>2016</v>
          </cell>
          <cell r="L1026">
            <v>279.32000732421875</v>
          </cell>
          <cell r="P1026" t="str">
            <v>UNMMG Midlevel</v>
          </cell>
        </row>
        <row r="1027">
          <cell r="F1027">
            <v>2016</v>
          </cell>
          <cell r="L1027">
            <v>368.47000122070313</v>
          </cell>
          <cell r="P1027" t="str">
            <v>UNMMG Midlevel</v>
          </cell>
        </row>
        <row r="1028">
          <cell r="F1028">
            <v>2016</v>
          </cell>
          <cell r="L1028">
            <v>60.159999847412109</v>
          </cell>
          <cell r="P1028" t="str">
            <v>UNMMG Midlevel</v>
          </cell>
        </row>
        <row r="1029">
          <cell r="F1029">
            <v>2016</v>
          </cell>
          <cell r="L1029">
            <v>-1.8999999761581421</v>
          </cell>
          <cell r="P1029" t="str">
            <v>UNMMG Midlevel</v>
          </cell>
        </row>
        <row r="1030">
          <cell r="F1030">
            <v>2017</v>
          </cell>
          <cell r="L1030">
            <v>-4.690000057220459</v>
          </cell>
          <cell r="P1030" t="str">
            <v>UNMMG Midlevel</v>
          </cell>
        </row>
        <row r="1031">
          <cell r="F1031">
            <v>2017</v>
          </cell>
          <cell r="L1031">
            <v>0.43000000715255737</v>
          </cell>
          <cell r="P1031" t="str">
            <v>UNMMG Midlevel</v>
          </cell>
        </row>
        <row r="1032">
          <cell r="F1032">
            <v>2017</v>
          </cell>
          <cell r="L1032">
            <v>0.40999999642372131</v>
          </cell>
          <cell r="P1032" t="str">
            <v>UNMMG Midlevel</v>
          </cell>
        </row>
        <row r="1033">
          <cell r="F1033">
            <v>2015</v>
          </cell>
          <cell r="L1033">
            <v>37.529998779296875</v>
          </cell>
          <cell r="P1033" t="str">
            <v>PULMONARY/CRITICAL CARE</v>
          </cell>
        </row>
        <row r="1034">
          <cell r="F1034">
            <v>2015</v>
          </cell>
          <cell r="L1034">
            <v>21.319999694824219</v>
          </cell>
          <cell r="P1034" t="str">
            <v>PULMONARY/CRITICAL CARE</v>
          </cell>
        </row>
        <row r="1035">
          <cell r="F1035">
            <v>2015</v>
          </cell>
          <cell r="L1035">
            <v>7.1399998664855957</v>
          </cell>
          <cell r="P1035" t="str">
            <v>PULMONARY/CRITICAL CARE</v>
          </cell>
        </row>
        <row r="1036">
          <cell r="F1036">
            <v>2015</v>
          </cell>
          <cell r="L1036">
            <v>31.819999694824219</v>
          </cell>
          <cell r="P1036" t="str">
            <v>PULMONARY/CRITICAL CARE</v>
          </cell>
        </row>
        <row r="1037">
          <cell r="F1037">
            <v>2015</v>
          </cell>
          <cell r="L1037">
            <v>17.989999771118164</v>
          </cell>
          <cell r="P1037" t="str">
            <v>PULMONARY/CRITICAL CARE</v>
          </cell>
        </row>
        <row r="1038">
          <cell r="F1038">
            <v>2015</v>
          </cell>
          <cell r="L1038">
            <v>6.4499998092651367</v>
          </cell>
          <cell r="P1038" t="str">
            <v>PULMONARY/CRITICAL CARE</v>
          </cell>
        </row>
        <row r="1039">
          <cell r="F1039">
            <v>2015</v>
          </cell>
          <cell r="L1039">
            <v>11.689999580383301</v>
          </cell>
          <cell r="P1039" t="str">
            <v>PULMONARY/CRITICAL CARE</v>
          </cell>
        </row>
        <row r="1040">
          <cell r="F1040">
            <v>2017</v>
          </cell>
          <cell r="L1040">
            <v>0.50999999046325684</v>
          </cell>
          <cell r="P1040" t="str">
            <v>Cardiology</v>
          </cell>
        </row>
        <row r="1041">
          <cell r="F1041">
            <v>2017</v>
          </cell>
          <cell r="L1041">
            <v>16.149999618530273</v>
          </cell>
          <cell r="P1041" t="str">
            <v>Cardiology</v>
          </cell>
        </row>
        <row r="1042">
          <cell r="F1042">
            <v>2017</v>
          </cell>
          <cell r="L1042">
            <v>1.8700000047683716</v>
          </cell>
          <cell r="P1042" t="str">
            <v>Cardiology</v>
          </cell>
        </row>
        <row r="1043">
          <cell r="F1043">
            <v>2015</v>
          </cell>
          <cell r="L1043">
            <v>11.159999847412109</v>
          </cell>
          <cell r="P1043" t="str">
            <v>NEPHROLOGY</v>
          </cell>
        </row>
        <row r="1044">
          <cell r="F1044">
            <v>2015</v>
          </cell>
          <cell r="L1044">
            <v>9.8999996185302734</v>
          </cell>
          <cell r="P1044" t="str">
            <v>NEPHROLOGY</v>
          </cell>
        </row>
        <row r="1045">
          <cell r="F1045">
            <v>2015</v>
          </cell>
          <cell r="L1045">
            <v>8.5200004577636719</v>
          </cell>
          <cell r="P1045" t="str">
            <v>NEPHROLOGY</v>
          </cell>
        </row>
        <row r="1046">
          <cell r="F1046">
            <v>2015</v>
          </cell>
          <cell r="L1046">
            <v>2.6099998950958252</v>
          </cell>
          <cell r="P1046" t="str">
            <v>NEPHROLOGY</v>
          </cell>
        </row>
        <row r="1047">
          <cell r="F1047">
            <v>2015</v>
          </cell>
          <cell r="L1047">
            <v>3.2899999618530273</v>
          </cell>
          <cell r="P1047" t="str">
            <v>NEPHROLOGY</v>
          </cell>
        </row>
        <row r="1048">
          <cell r="F1048">
            <v>2015</v>
          </cell>
          <cell r="L1048">
            <v>2.869999885559082</v>
          </cell>
          <cell r="P1048" t="str">
            <v>NEPHROLOGY</v>
          </cell>
        </row>
        <row r="1049">
          <cell r="F1049">
            <v>2016</v>
          </cell>
          <cell r="L1049">
            <v>4.7899999618530273</v>
          </cell>
          <cell r="P1049" t="str">
            <v>NEPHROLOGY</v>
          </cell>
        </row>
        <row r="1050">
          <cell r="F1050">
            <v>2016</v>
          </cell>
          <cell r="L1050">
            <v>1.9199999570846558</v>
          </cell>
          <cell r="P1050" t="str">
            <v>NEPHROLOGY</v>
          </cell>
        </row>
        <row r="1051">
          <cell r="F1051">
            <v>2015</v>
          </cell>
          <cell r="L1051">
            <v>38.720001220703125</v>
          </cell>
          <cell r="P1051" t="str">
            <v>Hospitalist</v>
          </cell>
        </row>
        <row r="1052">
          <cell r="F1052">
            <v>2015</v>
          </cell>
          <cell r="L1052">
            <v>164.89999389648438</v>
          </cell>
          <cell r="P1052" t="str">
            <v>Hospitalist</v>
          </cell>
        </row>
        <row r="1053">
          <cell r="F1053">
            <v>2015</v>
          </cell>
          <cell r="L1053">
            <v>-121.81999969482422</v>
          </cell>
          <cell r="P1053" t="str">
            <v>Hospitalist</v>
          </cell>
        </row>
        <row r="1054">
          <cell r="F1054">
            <v>2016</v>
          </cell>
          <cell r="L1054">
            <v>-81.800003051757813</v>
          </cell>
          <cell r="P1054" t="str">
            <v>Hospitalist</v>
          </cell>
        </row>
        <row r="1055">
          <cell r="F1055">
            <v>2015</v>
          </cell>
          <cell r="L1055">
            <v>61.689998626708984</v>
          </cell>
          <cell r="P1055" t="str">
            <v>Infectious Disease</v>
          </cell>
        </row>
        <row r="1056">
          <cell r="F1056">
            <v>2015</v>
          </cell>
          <cell r="L1056">
            <v>262.3699951171875</v>
          </cell>
          <cell r="P1056" t="str">
            <v>Infectious Disease</v>
          </cell>
        </row>
        <row r="1057">
          <cell r="F1057">
            <v>2015</v>
          </cell>
          <cell r="L1057">
            <v>145.55000305175781</v>
          </cell>
          <cell r="P1057" t="str">
            <v>Infectious Disease</v>
          </cell>
        </row>
        <row r="1058">
          <cell r="F1058">
            <v>2015</v>
          </cell>
          <cell r="L1058">
            <v>216.94000244140625</v>
          </cell>
          <cell r="P1058" t="str">
            <v>Infectious Disease</v>
          </cell>
        </row>
        <row r="1059">
          <cell r="F1059">
            <v>2015</v>
          </cell>
          <cell r="L1059">
            <v>140.97000122070313</v>
          </cell>
          <cell r="P1059" t="str">
            <v>Infectious Disease</v>
          </cell>
        </row>
        <row r="1060">
          <cell r="F1060">
            <v>2015</v>
          </cell>
          <cell r="L1060">
            <v>168.6199951171875</v>
          </cell>
          <cell r="P1060" t="str">
            <v>Infectious Disease</v>
          </cell>
        </row>
        <row r="1061">
          <cell r="F1061">
            <v>2016</v>
          </cell>
          <cell r="L1061">
            <v>120.12999725341797</v>
          </cell>
          <cell r="P1061" t="str">
            <v>Infectious Disease</v>
          </cell>
        </row>
        <row r="1062">
          <cell r="F1062">
            <v>2016</v>
          </cell>
          <cell r="L1062">
            <v>64.650001525878906</v>
          </cell>
          <cell r="P1062" t="str">
            <v>Infectious Disease</v>
          </cell>
        </row>
        <row r="1063">
          <cell r="F1063">
            <v>2016</v>
          </cell>
          <cell r="L1063">
            <v>117.12999725341797</v>
          </cell>
          <cell r="P1063" t="str">
            <v>Infectious Disease</v>
          </cell>
        </row>
        <row r="1064">
          <cell r="F1064">
            <v>2016</v>
          </cell>
          <cell r="L1064">
            <v>66.550003051757813</v>
          </cell>
          <cell r="P1064" t="str">
            <v>Infectious Disease</v>
          </cell>
        </row>
        <row r="1065">
          <cell r="F1065">
            <v>2016</v>
          </cell>
          <cell r="L1065">
            <v>222.07000732421875</v>
          </cell>
          <cell r="P1065" t="str">
            <v>Infectious Disease</v>
          </cell>
        </row>
        <row r="1066">
          <cell r="F1066">
            <v>2016</v>
          </cell>
          <cell r="L1066">
            <v>136.55000305175781</v>
          </cell>
          <cell r="P1066" t="str">
            <v>Infectious Disease</v>
          </cell>
        </row>
        <row r="1067">
          <cell r="F1067">
            <v>2016</v>
          </cell>
          <cell r="L1067">
            <v>92.819999694824219</v>
          </cell>
          <cell r="P1067" t="str">
            <v>Infectious Disease</v>
          </cell>
        </row>
        <row r="1068">
          <cell r="F1068">
            <v>2016</v>
          </cell>
          <cell r="L1068">
            <v>39.340000152587891</v>
          </cell>
          <cell r="P1068" t="str">
            <v>Infectious Disease</v>
          </cell>
        </row>
        <row r="1069">
          <cell r="F1069">
            <v>2016</v>
          </cell>
          <cell r="L1069">
            <v>33.080001831054688</v>
          </cell>
          <cell r="P1069" t="str">
            <v>Infectious Disease</v>
          </cell>
        </row>
        <row r="1070">
          <cell r="F1070">
            <v>2016</v>
          </cell>
          <cell r="L1070">
            <v>8.4200000762939453</v>
          </cell>
          <cell r="P1070" t="str">
            <v>Infectious Disease</v>
          </cell>
        </row>
        <row r="1071">
          <cell r="F1071">
            <v>2016</v>
          </cell>
          <cell r="L1071">
            <v>24.780000686645508</v>
          </cell>
          <cell r="P1071" t="str">
            <v>Infectious Disease</v>
          </cell>
        </row>
        <row r="1072">
          <cell r="F1072">
            <v>2016</v>
          </cell>
          <cell r="L1072">
            <v>47.619998931884766</v>
          </cell>
          <cell r="P1072" t="str">
            <v>Infectious Disease</v>
          </cell>
        </row>
        <row r="1073">
          <cell r="F1073">
            <v>2017</v>
          </cell>
          <cell r="L1073">
            <v>78.459999084472656</v>
          </cell>
          <cell r="P1073" t="str">
            <v>Infectious Disease</v>
          </cell>
        </row>
        <row r="1074">
          <cell r="F1074">
            <v>2017</v>
          </cell>
          <cell r="L1074">
            <v>58.270000457763672</v>
          </cell>
          <cell r="P1074" t="str">
            <v>Infectious Disease</v>
          </cell>
        </row>
        <row r="1075">
          <cell r="F1075">
            <v>2017</v>
          </cell>
          <cell r="L1075">
            <v>17.909999847412109</v>
          </cell>
          <cell r="P1075" t="str">
            <v>Infectious Disease</v>
          </cell>
        </row>
        <row r="1076">
          <cell r="F1076">
            <v>2017</v>
          </cell>
          <cell r="L1076">
            <v>80.660003662109375</v>
          </cell>
          <cell r="P1076" t="str">
            <v>Infectious Disease</v>
          </cell>
        </row>
        <row r="1077">
          <cell r="F1077">
            <v>2017</v>
          </cell>
          <cell r="L1077">
            <v>101.69000244140625</v>
          </cell>
          <cell r="P1077" t="str">
            <v>Infectious Disease</v>
          </cell>
        </row>
        <row r="1078">
          <cell r="F1078">
            <v>2017</v>
          </cell>
          <cell r="L1078">
            <v>284.70999145507813</v>
          </cell>
          <cell r="P1078" t="str">
            <v>Infectious Disease</v>
          </cell>
        </row>
        <row r="1079">
          <cell r="F1079">
            <v>2015</v>
          </cell>
          <cell r="L1079">
            <v>152.83999633789063</v>
          </cell>
          <cell r="P1079" t="str">
            <v>PULMONARY/CRITICAL CARE</v>
          </cell>
        </row>
        <row r="1080">
          <cell r="F1080">
            <v>2015</v>
          </cell>
          <cell r="L1080">
            <v>107.31999969482422</v>
          </cell>
          <cell r="P1080" t="str">
            <v>PULMONARY/CRITICAL CARE</v>
          </cell>
        </row>
        <row r="1081">
          <cell r="F1081">
            <v>2015</v>
          </cell>
          <cell r="L1081">
            <v>114.98000335693359</v>
          </cell>
          <cell r="P1081" t="str">
            <v>PULMONARY/CRITICAL CARE</v>
          </cell>
        </row>
        <row r="1082">
          <cell r="F1082">
            <v>2015</v>
          </cell>
          <cell r="L1082">
            <v>111.88999938964844</v>
          </cell>
          <cell r="P1082" t="str">
            <v>PULMONARY/CRITICAL CARE</v>
          </cell>
        </row>
        <row r="1083">
          <cell r="F1083">
            <v>2015</v>
          </cell>
          <cell r="L1083">
            <v>27.959999084472656</v>
          </cell>
          <cell r="P1083" t="str">
            <v>PULMONARY/CRITICAL CARE</v>
          </cell>
        </row>
        <row r="1084">
          <cell r="F1084">
            <v>2015</v>
          </cell>
          <cell r="L1084">
            <v>12.880000114440918</v>
          </cell>
          <cell r="P1084" t="str">
            <v>PULMONARY/CRITICAL CARE</v>
          </cell>
        </row>
        <row r="1085">
          <cell r="F1085">
            <v>2015</v>
          </cell>
          <cell r="L1085">
            <v>0</v>
          </cell>
          <cell r="P1085" t="str">
            <v>PULMONARY/CRITICAL CARE</v>
          </cell>
        </row>
        <row r="1086">
          <cell r="F1086">
            <v>2016</v>
          </cell>
          <cell r="L1086">
            <v>0.97000002861022949</v>
          </cell>
          <cell r="P1086" t="str">
            <v>PULMONARY/CRITICAL CARE</v>
          </cell>
        </row>
        <row r="1087">
          <cell r="F1087">
            <v>2016</v>
          </cell>
          <cell r="L1087">
            <v>0.97000002861022949</v>
          </cell>
          <cell r="P1087" t="str">
            <v>PULMONARY/CRITICAL CARE</v>
          </cell>
        </row>
        <row r="1088">
          <cell r="F1088">
            <v>2017</v>
          </cell>
          <cell r="L1088">
            <v>4.5</v>
          </cell>
          <cell r="P1088" t="str">
            <v>PULMONARY/CRITICAL CARE</v>
          </cell>
        </row>
        <row r="1089">
          <cell r="F1089">
            <v>2015</v>
          </cell>
          <cell r="L1089">
            <v>288.8800048828125</v>
          </cell>
          <cell r="P1089" t="str">
            <v>Hospitalist</v>
          </cell>
        </row>
        <row r="1090">
          <cell r="F1090">
            <v>2015</v>
          </cell>
          <cell r="L1090">
            <v>381.010009765625</v>
          </cell>
          <cell r="P1090" t="str">
            <v>Hospitalist</v>
          </cell>
        </row>
        <row r="1091">
          <cell r="F1091">
            <v>2015</v>
          </cell>
          <cell r="L1091">
            <v>258.489990234375</v>
          </cell>
          <cell r="P1091" t="str">
            <v>Hospitalist</v>
          </cell>
        </row>
        <row r="1092">
          <cell r="F1092">
            <v>2015</v>
          </cell>
          <cell r="L1092">
            <v>160.41000366210938</v>
          </cell>
          <cell r="P1092" t="str">
            <v>Hospitalist</v>
          </cell>
        </row>
        <row r="1093">
          <cell r="F1093">
            <v>2015</v>
          </cell>
          <cell r="L1093">
            <v>256.02999877929688</v>
          </cell>
          <cell r="P1093" t="str">
            <v>Hospitalist</v>
          </cell>
        </row>
        <row r="1094">
          <cell r="F1094">
            <v>2015</v>
          </cell>
          <cell r="L1094">
            <v>156.39999389648438</v>
          </cell>
          <cell r="P1094" t="str">
            <v>Hospitalist</v>
          </cell>
        </row>
        <row r="1095">
          <cell r="F1095">
            <v>2015</v>
          </cell>
          <cell r="L1095">
            <v>252.07000732421875</v>
          </cell>
          <cell r="P1095" t="str">
            <v>Hospitalist</v>
          </cell>
        </row>
        <row r="1096">
          <cell r="F1096">
            <v>2015</v>
          </cell>
          <cell r="L1096">
            <v>346.17999267578125</v>
          </cell>
          <cell r="P1096" t="str">
            <v>Hospitalist</v>
          </cell>
        </row>
        <row r="1097">
          <cell r="F1097">
            <v>2015</v>
          </cell>
          <cell r="L1097">
            <v>388.95001220703125</v>
          </cell>
          <cell r="P1097" t="str">
            <v>Hospitalist</v>
          </cell>
        </row>
        <row r="1098">
          <cell r="F1098">
            <v>2015</v>
          </cell>
          <cell r="L1098">
            <v>103.38999938964844</v>
          </cell>
          <cell r="P1098" t="str">
            <v>Hospitalist</v>
          </cell>
        </row>
        <row r="1099">
          <cell r="F1099">
            <v>2015</v>
          </cell>
          <cell r="L1099">
            <v>276.85000610351563</v>
          </cell>
          <cell r="P1099" t="str">
            <v>Hospitalist</v>
          </cell>
        </row>
        <row r="1100">
          <cell r="F1100">
            <v>2015</v>
          </cell>
          <cell r="L1100">
            <v>233.6300048828125</v>
          </cell>
          <cell r="P1100" t="str">
            <v>Hospitalist</v>
          </cell>
        </row>
        <row r="1101">
          <cell r="F1101">
            <v>2016</v>
          </cell>
          <cell r="L1101">
            <v>97.069999694824219</v>
          </cell>
          <cell r="P1101" t="str">
            <v>Hospitalist</v>
          </cell>
        </row>
        <row r="1102">
          <cell r="F1102">
            <v>2016</v>
          </cell>
          <cell r="L1102">
            <v>149.30000305175781</v>
          </cell>
          <cell r="P1102" t="str">
            <v>Hospitalist</v>
          </cell>
        </row>
        <row r="1103">
          <cell r="F1103">
            <v>2016</v>
          </cell>
          <cell r="L1103">
            <v>388.66000366210938</v>
          </cell>
          <cell r="P1103" t="str">
            <v>Hospitalist</v>
          </cell>
        </row>
        <row r="1104">
          <cell r="F1104">
            <v>2016</v>
          </cell>
          <cell r="L1104">
            <v>297.5</v>
          </cell>
          <cell r="P1104" t="str">
            <v>Hospitalist</v>
          </cell>
        </row>
        <row r="1105">
          <cell r="F1105">
            <v>2016</v>
          </cell>
          <cell r="L1105">
            <v>363.97000122070313</v>
          </cell>
          <cell r="P1105" t="str">
            <v>Hospitalist</v>
          </cell>
        </row>
        <row r="1106">
          <cell r="F1106">
            <v>2016</v>
          </cell>
          <cell r="L1106">
            <v>286.32000732421875</v>
          </cell>
          <cell r="P1106" t="str">
            <v>Hospitalist</v>
          </cell>
        </row>
        <row r="1107">
          <cell r="F1107">
            <v>2016</v>
          </cell>
          <cell r="L1107">
            <v>163.77999877929688</v>
          </cell>
          <cell r="P1107" t="str">
            <v>Hospitalist</v>
          </cell>
        </row>
        <row r="1108">
          <cell r="F1108">
            <v>2016</v>
          </cell>
          <cell r="L1108">
            <v>277.39999389648438</v>
          </cell>
          <cell r="P1108" t="str">
            <v>Hospitalist</v>
          </cell>
        </row>
        <row r="1109">
          <cell r="F1109">
            <v>2016</v>
          </cell>
          <cell r="L1109">
            <v>308.510009765625</v>
          </cell>
          <cell r="P1109" t="str">
            <v>Hospitalist</v>
          </cell>
        </row>
        <row r="1110">
          <cell r="F1110">
            <v>2016</v>
          </cell>
          <cell r="L1110">
            <v>363.07000732421875</v>
          </cell>
          <cell r="P1110" t="str">
            <v>Hospitalist</v>
          </cell>
        </row>
        <row r="1111">
          <cell r="F1111">
            <v>2016</v>
          </cell>
          <cell r="L1111">
            <v>251.17999267578125</v>
          </cell>
          <cell r="P1111" t="str">
            <v>Hospitalist</v>
          </cell>
        </row>
        <row r="1112">
          <cell r="F1112">
            <v>2016</v>
          </cell>
          <cell r="L1112">
            <v>348.02999877929688</v>
          </cell>
          <cell r="P1112" t="str">
            <v>Hospitalist</v>
          </cell>
        </row>
        <row r="1113">
          <cell r="F1113">
            <v>2017</v>
          </cell>
          <cell r="L1113">
            <v>178.30000305175781</v>
          </cell>
          <cell r="P1113" t="str">
            <v>Hospitalist</v>
          </cell>
        </row>
        <row r="1114">
          <cell r="F1114">
            <v>2017</v>
          </cell>
          <cell r="L1114">
            <v>271.76998901367188</v>
          </cell>
          <cell r="P1114" t="str">
            <v>Hospitalist</v>
          </cell>
        </row>
        <row r="1115">
          <cell r="F1115">
            <v>2017</v>
          </cell>
          <cell r="L1115">
            <v>132.55000305175781</v>
          </cell>
          <cell r="P1115" t="str">
            <v>Hospitalist</v>
          </cell>
        </row>
        <row r="1116">
          <cell r="F1116">
            <v>2017</v>
          </cell>
          <cell r="L1116">
            <v>245.66999816894531</v>
          </cell>
          <cell r="P1116" t="str">
            <v>Hospitalist</v>
          </cell>
        </row>
        <row r="1117">
          <cell r="F1117">
            <v>2017</v>
          </cell>
          <cell r="L1117">
            <v>69.080001831054688</v>
          </cell>
          <cell r="P1117" t="str">
            <v>Hospitalist</v>
          </cell>
        </row>
        <row r="1118">
          <cell r="F1118">
            <v>2017</v>
          </cell>
          <cell r="L1118">
            <v>194.11000061035156</v>
          </cell>
          <cell r="P1118" t="str">
            <v>Hospitalist</v>
          </cell>
        </row>
        <row r="1119">
          <cell r="F1119">
            <v>2015</v>
          </cell>
          <cell r="L1119">
            <v>110.09999847412109</v>
          </cell>
          <cell r="P1119" t="str">
            <v>NEPHROLOGY</v>
          </cell>
        </row>
        <row r="1120">
          <cell r="F1120">
            <v>2015</v>
          </cell>
          <cell r="L1120">
            <v>89.139999389648438</v>
          </cell>
          <cell r="P1120" t="str">
            <v>NEPHROLOGY</v>
          </cell>
        </row>
        <row r="1121">
          <cell r="F1121">
            <v>2015</v>
          </cell>
          <cell r="L1121">
            <v>67.80999755859375</v>
          </cell>
          <cell r="P1121" t="str">
            <v>NEPHROLOGY</v>
          </cell>
        </row>
        <row r="1122">
          <cell r="F1122">
            <v>2015</v>
          </cell>
          <cell r="L1122">
            <v>25.620000839233398</v>
          </cell>
          <cell r="P1122" t="str">
            <v>NEPHROLOGY</v>
          </cell>
        </row>
        <row r="1123">
          <cell r="F1123">
            <v>2015</v>
          </cell>
          <cell r="L1123">
            <v>39.540000915527344</v>
          </cell>
          <cell r="P1123" t="str">
            <v>NEPHROLOGY</v>
          </cell>
        </row>
        <row r="1124">
          <cell r="F1124">
            <v>2015</v>
          </cell>
          <cell r="L1124">
            <v>11.800000190734863</v>
          </cell>
          <cell r="P1124" t="str">
            <v>NEPHROLOGY</v>
          </cell>
        </row>
        <row r="1125">
          <cell r="F1125">
            <v>2015</v>
          </cell>
          <cell r="L1125">
            <v>66.25</v>
          </cell>
          <cell r="P1125" t="str">
            <v>NEPHROLOGY</v>
          </cell>
        </row>
        <row r="1126">
          <cell r="F1126">
            <v>2015</v>
          </cell>
          <cell r="L1126">
            <v>31.670000076293945</v>
          </cell>
          <cell r="P1126" t="str">
            <v>NEPHROLOGY</v>
          </cell>
        </row>
        <row r="1127">
          <cell r="F1127">
            <v>2015</v>
          </cell>
          <cell r="L1127">
            <v>76.080001831054688</v>
          </cell>
          <cell r="P1127" t="str">
            <v>NEPHROLOGY</v>
          </cell>
        </row>
        <row r="1128">
          <cell r="F1128">
            <v>2015</v>
          </cell>
          <cell r="L1128">
            <v>53.540000915527344</v>
          </cell>
          <cell r="P1128" t="str">
            <v>NEPHROLOGY</v>
          </cell>
        </row>
        <row r="1129">
          <cell r="F1129">
            <v>2015</v>
          </cell>
          <cell r="L1129">
            <v>19.680000305175781</v>
          </cell>
          <cell r="P1129" t="str">
            <v>NEPHROLOGY</v>
          </cell>
        </row>
        <row r="1130">
          <cell r="F1130">
            <v>2015</v>
          </cell>
          <cell r="L1130">
            <v>56.529998779296875</v>
          </cell>
          <cell r="P1130" t="str">
            <v>NEPHROLOGY</v>
          </cell>
        </row>
        <row r="1131">
          <cell r="F1131">
            <v>2016</v>
          </cell>
          <cell r="L1131">
            <v>57.240001678466797</v>
          </cell>
          <cell r="P1131" t="str">
            <v>NEPHROLOGY</v>
          </cell>
        </row>
        <row r="1132">
          <cell r="F1132">
            <v>2016</v>
          </cell>
          <cell r="L1132">
            <v>53.759998321533203</v>
          </cell>
          <cell r="P1132" t="str">
            <v>NEPHROLOGY</v>
          </cell>
        </row>
        <row r="1133">
          <cell r="F1133">
            <v>2016</v>
          </cell>
          <cell r="L1133">
            <v>43.590000152587891</v>
          </cell>
          <cell r="P1133" t="str">
            <v>NEPHROLOGY</v>
          </cell>
        </row>
        <row r="1134">
          <cell r="F1134">
            <v>2016</v>
          </cell>
          <cell r="L1134">
            <v>15.010000228881836</v>
          </cell>
          <cell r="P1134" t="str">
            <v>NEPHROLOGY</v>
          </cell>
        </row>
        <row r="1135">
          <cell r="F1135">
            <v>2016</v>
          </cell>
          <cell r="L1135">
            <v>32.080001831054688</v>
          </cell>
          <cell r="P1135" t="str">
            <v>NEPHROLOGY</v>
          </cell>
        </row>
        <row r="1136">
          <cell r="F1136">
            <v>2016</v>
          </cell>
          <cell r="L1136">
            <v>50.130001068115234</v>
          </cell>
          <cell r="P1136" t="str">
            <v>NEPHROLOGY</v>
          </cell>
        </row>
        <row r="1137">
          <cell r="F1137">
            <v>2016</v>
          </cell>
          <cell r="L1137">
            <v>37.970001220703125</v>
          </cell>
          <cell r="P1137" t="str">
            <v>NEPHROLOGY</v>
          </cell>
        </row>
        <row r="1138">
          <cell r="F1138">
            <v>2016</v>
          </cell>
          <cell r="L1138">
            <v>58.729999542236328</v>
          </cell>
          <cell r="P1138" t="str">
            <v>NEPHROLOGY</v>
          </cell>
        </row>
        <row r="1139">
          <cell r="F1139">
            <v>2016</v>
          </cell>
          <cell r="L1139">
            <v>60.310001373291016</v>
          </cell>
          <cell r="P1139" t="str">
            <v>NEPHROLOGY</v>
          </cell>
        </row>
        <row r="1140">
          <cell r="F1140">
            <v>2016</v>
          </cell>
          <cell r="L1140">
            <v>55.840000152587891</v>
          </cell>
          <cell r="P1140" t="str">
            <v>NEPHROLOGY</v>
          </cell>
        </row>
        <row r="1141">
          <cell r="F1141">
            <v>2016</v>
          </cell>
          <cell r="L1141">
            <v>52.090000152587891</v>
          </cell>
          <cell r="P1141" t="str">
            <v>NEPHROLOGY</v>
          </cell>
        </row>
        <row r="1142">
          <cell r="F1142">
            <v>2016</v>
          </cell>
          <cell r="L1142">
            <v>13.590000152587891</v>
          </cell>
          <cell r="P1142" t="str">
            <v>NEPHROLOGY</v>
          </cell>
        </row>
        <row r="1143">
          <cell r="F1143">
            <v>2017</v>
          </cell>
          <cell r="L1143">
            <v>39.270000457763672</v>
          </cell>
          <cell r="P1143" t="str">
            <v>NEPHROLOGY</v>
          </cell>
        </row>
        <row r="1144">
          <cell r="F1144">
            <v>2017</v>
          </cell>
          <cell r="L1144">
            <v>52.310001373291016</v>
          </cell>
          <cell r="P1144" t="str">
            <v>NEPHROLOGY</v>
          </cell>
        </row>
        <row r="1145">
          <cell r="F1145">
            <v>2017</v>
          </cell>
          <cell r="L1145">
            <v>82.419998168945313</v>
          </cell>
          <cell r="P1145" t="str">
            <v>NEPHROLOGY</v>
          </cell>
        </row>
        <row r="1146">
          <cell r="F1146">
            <v>2017</v>
          </cell>
          <cell r="L1146">
            <v>15.5</v>
          </cell>
          <cell r="P1146" t="str">
            <v>NEPHROLOGY</v>
          </cell>
        </row>
        <row r="1147">
          <cell r="F1147">
            <v>2017</v>
          </cell>
          <cell r="L1147">
            <v>116.75</v>
          </cell>
          <cell r="P1147" t="str">
            <v>NEPHROLOGY</v>
          </cell>
        </row>
        <row r="1148">
          <cell r="F1148">
            <v>2017</v>
          </cell>
          <cell r="L1148">
            <v>5.190000057220459</v>
          </cell>
          <cell r="P1148" t="str">
            <v>NEPHROLOGY</v>
          </cell>
        </row>
        <row r="1149">
          <cell r="F1149">
            <v>2015</v>
          </cell>
          <cell r="L1149">
            <v>32.139999389648438</v>
          </cell>
          <cell r="P1149" t="str">
            <v>PULMONARY/CRITICAL CARE</v>
          </cell>
        </row>
        <row r="1150">
          <cell r="F1150">
            <v>2015</v>
          </cell>
          <cell r="L1150">
            <v>86.410003662109375</v>
          </cell>
          <cell r="P1150" t="str">
            <v>PULMONARY/CRITICAL CARE</v>
          </cell>
        </row>
        <row r="1151">
          <cell r="F1151">
            <v>2015</v>
          </cell>
          <cell r="L1151">
            <v>76.44000244140625</v>
          </cell>
          <cell r="P1151" t="str">
            <v>PULMONARY/CRITICAL CARE</v>
          </cell>
        </row>
        <row r="1152">
          <cell r="F1152">
            <v>2015</v>
          </cell>
          <cell r="L1152">
            <v>49.240001678466797</v>
          </cell>
          <cell r="P1152" t="str">
            <v>PULMONARY/CRITICAL CARE</v>
          </cell>
        </row>
        <row r="1153">
          <cell r="F1153">
            <v>2015</v>
          </cell>
          <cell r="L1153">
            <v>70.870002746582031</v>
          </cell>
          <cell r="P1153" t="str">
            <v>PULMONARY/CRITICAL CARE</v>
          </cell>
        </row>
        <row r="1154">
          <cell r="F1154">
            <v>2015</v>
          </cell>
          <cell r="L1154">
            <v>94.410003662109375</v>
          </cell>
          <cell r="P1154" t="str">
            <v>PULMONARY/CRITICAL CARE</v>
          </cell>
        </row>
        <row r="1155">
          <cell r="F1155">
            <v>2015</v>
          </cell>
          <cell r="L1155">
            <v>61.529998779296875</v>
          </cell>
          <cell r="P1155" t="str">
            <v>PULMONARY/CRITICAL CARE</v>
          </cell>
        </row>
        <row r="1156">
          <cell r="F1156">
            <v>2015</v>
          </cell>
          <cell r="L1156">
            <v>10.539999961853027</v>
          </cell>
          <cell r="P1156" t="str">
            <v>PULMONARY/CRITICAL CARE</v>
          </cell>
        </row>
        <row r="1157">
          <cell r="F1157">
            <v>2015</v>
          </cell>
          <cell r="L1157">
            <v>38.049999237060547</v>
          </cell>
          <cell r="P1157" t="str">
            <v>PULMONARY/CRITICAL CARE</v>
          </cell>
        </row>
        <row r="1158">
          <cell r="F1158">
            <v>2015</v>
          </cell>
          <cell r="L1158">
            <v>24.090000152587891</v>
          </cell>
          <cell r="P1158" t="str">
            <v>PULMONARY/CRITICAL CARE</v>
          </cell>
        </row>
        <row r="1159">
          <cell r="F1159">
            <v>2015</v>
          </cell>
          <cell r="L1159">
            <v>105.15000152587891</v>
          </cell>
          <cell r="P1159" t="str">
            <v>PULMONARY/CRITICAL CARE</v>
          </cell>
        </row>
        <row r="1160">
          <cell r="F1160">
            <v>2016</v>
          </cell>
          <cell r="L1160">
            <v>6.6100001335144043</v>
          </cell>
          <cell r="P1160" t="str">
            <v>PULMONARY/CRITICAL CARE</v>
          </cell>
        </row>
        <row r="1161">
          <cell r="F1161">
            <v>2016</v>
          </cell>
          <cell r="L1161">
            <v>3.8599998950958252</v>
          </cell>
          <cell r="P1161" t="str">
            <v>PULMONARY/CRITICAL CARE</v>
          </cell>
        </row>
        <row r="1162">
          <cell r="F1162">
            <v>2016</v>
          </cell>
          <cell r="L1162">
            <v>4.5</v>
          </cell>
          <cell r="P1162" t="str">
            <v>PULMONARY/CRITICAL CARE</v>
          </cell>
        </row>
        <row r="1163">
          <cell r="F1163">
            <v>2016</v>
          </cell>
          <cell r="L1163">
            <v>5.6500000953674316</v>
          </cell>
          <cell r="P1163" t="str">
            <v>PULMONARY/CRITICAL CARE</v>
          </cell>
        </row>
        <row r="1164">
          <cell r="F1164">
            <v>2016</v>
          </cell>
          <cell r="L1164">
            <v>12.420000076293945</v>
          </cell>
          <cell r="P1164" t="str">
            <v>PULMONARY/CRITICAL CARE</v>
          </cell>
        </row>
        <row r="1165">
          <cell r="F1165">
            <v>2016</v>
          </cell>
          <cell r="L1165">
            <v>35.060001373291016</v>
          </cell>
          <cell r="P1165" t="str">
            <v>PULMONARY/CRITICAL CARE</v>
          </cell>
        </row>
        <row r="1166">
          <cell r="F1166">
            <v>2016</v>
          </cell>
          <cell r="L1166">
            <v>26.079999923706055</v>
          </cell>
          <cell r="P1166" t="str">
            <v>PULMONARY/CRITICAL CARE</v>
          </cell>
        </row>
        <row r="1167">
          <cell r="F1167">
            <v>2016</v>
          </cell>
          <cell r="L1167">
            <v>134.3800048828125</v>
          </cell>
          <cell r="P1167" t="str">
            <v>PULMONARY/CRITICAL CARE</v>
          </cell>
        </row>
        <row r="1168">
          <cell r="F1168">
            <v>2017</v>
          </cell>
          <cell r="L1168">
            <v>4.5</v>
          </cell>
          <cell r="P1168" t="str">
            <v>PULMONARY/CRITICAL CARE</v>
          </cell>
        </row>
        <row r="1169">
          <cell r="F1169">
            <v>2017</v>
          </cell>
          <cell r="L1169">
            <v>3.2899999618530273</v>
          </cell>
          <cell r="P1169" t="str">
            <v>PULMONARY/CRITICAL CARE</v>
          </cell>
        </row>
        <row r="1170">
          <cell r="F1170">
            <v>2017</v>
          </cell>
          <cell r="L1170">
            <v>46.389999389648438</v>
          </cell>
          <cell r="P1170" t="str">
            <v>PULMONARY/CRITICAL CARE</v>
          </cell>
        </row>
        <row r="1171">
          <cell r="F1171">
            <v>2017</v>
          </cell>
          <cell r="L1171">
            <v>99.75</v>
          </cell>
          <cell r="P1171" t="str">
            <v>PULMONARY/CRITICAL CARE</v>
          </cell>
        </row>
        <row r="1172">
          <cell r="F1172">
            <v>2017</v>
          </cell>
          <cell r="L1172">
            <v>29.799999237060547</v>
          </cell>
          <cell r="P1172" t="str">
            <v>PULMONARY/CRITICAL CARE</v>
          </cell>
        </row>
        <row r="1173">
          <cell r="F1173">
            <v>2017</v>
          </cell>
          <cell r="L1173">
            <v>15.800000190734863</v>
          </cell>
          <cell r="P1173" t="str">
            <v>PULMONARY/CRITICAL CARE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>
            <v>2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cth linked"/>
      <sheetName val="cph linked"/>
      <sheetName val="mhc linked"/>
      <sheetName val="casaa linked"/>
      <sheetName val="CIU"/>
      <sheetName val="Speech"/>
      <sheetName val="SUMMARY"/>
      <sheetName val="stats"/>
      <sheetName val="statss "/>
      <sheetName val="statss1"/>
      <sheetName val="ytdclinic"/>
      <sheetName val="statss2"/>
      <sheetName val="statss3 "/>
      <sheetName val="MHC"/>
      <sheetName val="CPH"/>
      <sheetName val="CTH"/>
      <sheetName val="CASAA"/>
      <sheetName val="YCHC"/>
      <sheetName val="Milagro"/>
      <sheetName val="input_rev3_sort"/>
      <sheetName val="other_input"/>
      <sheetName val="Sheet1"/>
      <sheetName val="APD"/>
      <sheetName val="Mammo"/>
      <sheetName val="trends_stat"/>
      <sheetName val="Total_stats"/>
      <sheetName val="stat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7">
          <cell r="D137">
            <v>5</v>
          </cell>
        </row>
        <row r="157">
          <cell r="D157">
            <v>11</v>
          </cell>
        </row>
        <row r="194">
          <cell r="D194">
            <v>9</v>
          </cell>
        </row>
        <row r="209">
          <cell r="D209">
            <v>14</v>
          </cell>
        </row>
        <row r="225">
          <cell r="D225">
            <v>72</v>
          </cell>
        </row>
        <row r="245">
          <cell r="D245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6">
          <cell r="J16" t="str">
            <v>July</v>
          </cell>
        </row>
        <row r="17">
          <cell r="J17" t="str">
            <v>Inpatient</v>
          </cell>
          <cell r="K17" t="str">
            <v>Outpatient</v>
          </cell>
          <cell r="L17" t="str">
            <v>Total</v>
          </cell>
        </row>
        <row r="20">
          <cell r="J20">
            <v>172</v>
          </cell>
          <cell r="L20">
            <v>172</v>
          </cell>
        </row>
        <row r="21">
          <cell r="L21">
            <v>0</v>
          </cell>
        </row>
        <row r="22">
          <cell r="J22">
            <v>24</v>
          </cell>
          <cell r="K22">
            <v>298</v>
          </cell>
          <cell r="L22">
            <v>322</v>
          </cell>
        </row>
        <row r="23">
          <cell r="J23">
            <v>1</v>
          </cell>
          <cell r="K23">
            <v>44</v>
          </cell>
          <cell r="L23">
            <v>45</v>
          </cell>
        </row>
        <row r="24">
          <cell r="J24">
            <v>1</v>
          </cell>
          <cell r="K24">
            <v>161</v>
          </cell>
          <cell r="L24">
            <v>162</v>
          </cell>
        </row>
        <row r="25">
          <cell r="J25">
            <v>41</v>
          </cell>
          <cell r="K25">
            <v>631</v>
          </cell>
          <cell r="L25">
            <v>672</v>
          </cell>
        </row>
        <row r="26">
          <cell r="J26">
            <v>108</v>
          </cell>
          <cell r="K26">
            <v>2</v>
          </cell>
          <cell r="L26">
            <v>110</v>
          </cell>
        </row>
        <row r="27">
          <cell r="J27">
            <v>381</v>
          </cell>
          <cell r="K27">
            <v>1415</v>
          </cell>
          <cell r="L27">
            <v>1796</v>
          </cell>
        </row>
        <row r="28">
          <cell r="J28">
            <v>335</v>
          </cell>
          <cell r="K28">
            <v>1058</v>
          </cell>
          <cell r="L28">
            <v>1393</v>
          </cell>
        </row>
        <row r="29">
          <cell r="J29">
            <v>324</v>
          </cell>
          <cell r="K29">
            <v>738</v>
          </cell>
          <cell r="L29">
            <v>1062</v>
          </cell>
        </row>
        <row r="30">
          <cell r="J30">
            <v>5</v>
          </cell>
          <cell r="K30">
            <v>33</v>
          </cell>
          <cell r="L30">
            <v>38</v>
          </cell>
        </row>
        <row r="31">
          <cell r="L31">
            <v>0</v>
          </cell>
        </row>
        <row r="32">
          <cell r="J32">
            <v>18</v>
          </cell>
          <cell r="K32">
            <v>1162</v>
          </cell>
          <cell r="L32">
            <v>1180</v>
          </cell>
        </row>
        <row r="33">
          <cell r="L33">
            <v>0</v>
          </cell>
        </row>
        <row r="34">
          <cell r="K34">
            <v>23</v>
          </cell>
          <cell r="L34">
            <v>23</v>
          </cell>
        </row>
        <row r="35">
          <cell r="J35">
            <v>447</v>
          </cell>
          <cell r="L35">
            <v>447</v>
          </cell>
        </row>
        <row r="36">
          <cell r="J36">
            <v>447</v>
          </cell>
          <cell r="L36">
            <v>447</v>
          </cell>
        </row>
        <row r="37">
          <cell r="J37">
            <v>444</v>
          </cell>
          <cell r="L37">
            <v>444</v>
          </cell>
        </row>
        <row r="38">
          <cell r="J38">
            <v>210</v>
          </cell>
          <cell r="K38">
            <v>1917</v>
          </cell>
          <cell r="L38">
            <v>2127</v>
          </cell>
        </row>
        <row r="39">
          <cell r="K39">
            <v>190.5</v>
          </cell>
          <cell r="L39">
            <v>190.5</v>
          </cell>
        </row>
        <row r="40">
          <cell r="K40">
            <v>3153.75</v>
          </cell>
          <cell r="L40">
            <v>3153.75</v>
          </cell>
        </row>
        <row r="41">
          <cell r="L41">
            <v>0</v>
          </cell>
        </row>
        <row r="42">
          <cell r="J42">
            <v>4</v>
          </cell>
          <cell r="K42">
            <v>581.5</v>
          </cell>
          <cell r="L42">
            <v>585.5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J46">
            <v>1</v>
          </cell>
          <cell r="K46">
            <v>177</v>
          </cell>
          <cell r="L46">
            <v>178</v>
          </cell>
        </row>
        <row r="47">
          <cell r="K47">
            <v>107.5</v>
          </cell>
          <cell r="L47">
            <v>107.5</v>
          </cell>
        </row>
        <row r="48">
          <cell r="J48">
            <v>1</v>
          </cell>
          <cell r="K48">
            <v>74.75</v>
          </cell>
          <cell r="L48">
            <v>75.75</v>
          </cell>
        </row>
        <row r="49">
          <cell r="K49">
            <v>257.75</v>
          </cell>
          <cell r="L49">
            <v>257.75</v>
          </cell>
        </row>
        <row r="50">
          <cell r="J50">
            <v>1</v>
          </cell>
          <cell r="K50">
            <v>540.25</v>
          </cell>
          <cell r="L50">
            <v>541.25</v>
          </cell>
        </row>
        <row r="51">
          <cell r="J51">
            <v>244</v>
          </cell>
          <cell r="L51">
            <v>244</v>
          </cell>
        </row>
        <row r="52">
          <cell r="L52">
            <v>0</v>
          </cell>
        </row>
        <row r="53">
          <cell r="L53">
            <v>0</v>
          </cell>
        </row>
        <row r="54">
          <cell r="J54">
            <v>1</v>
          </cell>
          <cell r="L54">
            <v>1</v>
          </cell>
        </row>
        <row r="55">
          <cell r="L55">
            <v>0</v>
          </cell>
        </row>
        <row r="56">
          <cell r="J56">
            <v>274</v>
          </cell>
          <cell r="L56">
            <v>274</v>
          </cell>
        </row>
        <row r="57">
          <cell r="J57">
            <v>285</v>
          </cell>
          <cell r="L57">
            <v>285</v>
          </cell>
        </row>
        <row r="58">
          <cell r="K58">
            <v>2478</v>
          </cell>
          <cell r="L58">
            <v>2478</v>
          </cell>
        </row>
        <row r="59">
          <cell r="K59">
            <v>-36.75</v>
          </cell>
          <cell r="L59">
            <v>-36.75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J66">
            <v>269</v>
          </cell>
          <cell r="L66">
            <v>269</v>
          </cell>
        </row>
        <row r="67">
          <cell r="J67">
            <v>521</v>
          </cell>
          <cell r="K67">
            <v>1</v>
          </cell>
          <cell r="L67">
            <v>522</v>
          </cell>
        </row>
        <row r="68">
          <cell r="L68">
            <v>0</v>
          </cell>
        </row>
        <row r="69">
          <cell r="J69">
            <v>246</v>
          </cell>
          <cell r="K69">
            <v>1</v>
          </cell>
          <cell r="L69">
            <v>247</v>
          </cell>
        </row>
        <row r="70">
          <cell r="J70">
            <v>279</v>
          </cell>
          <cell r="L70">
            <v>279</v>
          </cell>
        </row>
        <row r="71">
          <cell r="J71">
            <v>730</v>
          </cell>
          <cell r="K71">
            <v>14</v>
          </cell>
          <cell r="L71">
            <v>744</v>
          </cell>
        </row>
        <row r="72">
          <cell r="J72">
            <v>731</v>
          </cell>
          <cell r="K72">
            <v>3</v>
          </cell>
          <cell r="L72">
            <v>734</v>
          </cell>
        </row>
        <row r="73">
          <cell r="J73">
            <v>444</v>
          </cell>
          <cell r="L73">
            <v>444</v>
          </cell>
        </row>
        <row r="74">
          <cell r="J74">
            <v>521</v>
          </cell>
          <cell r="K74">
            <v>2</v>
          </cell>
          <cell r="L74">
            <v>523</v>
          </cell>
        </row>
        <row r="75">
          <cell r="J75">
            <v>357</v>
          </cell>
          <cell r="K75">
            <v>11</v>
          </cell>
          <cell r="L75">
            <v>368</v>
          </cell>
        </row>
        <row r="76">
          <cell r="J76">
            <v>676</v>
          </cell>
          <cell r="L76">
            <v>676</v>
          </cell>
        </row>
        <row r="77">
          <cell r="J77">
            <v>561</v>
          </cell>
          <cell r="K77">
            <v>3</v>
          </cell>
          <cell r="L77">
            <v>564</v>
          </cell>
        </row>
        <row r="78">
          <cell r="L78">
            <v>0</v>
          </cell>
        </row>
        <row r="79">
          <cell r="L79">
            <v>0</v>
          </cell>
        </row>
        <row r="80">
          <cell r="J80">
            <v>432</v>
          </cell>
          <cell r="L80">
            <v>432</v>
          </cell>
        </row>
        <row r="81">
          <cell r="J81">
            <v>414</v>
          </cell>
          <cell r="L81">
            <v>414</v>
          </cell>
        </row>
        <row r="82">
          <cell r="J82">
            <v>593</v>
          </cell>
          <cell r="L82">
            <v>593</v>
          </cell>
        </row>
        <row r="83">
          <cell r="J83">
            <v>669</v>
          </cell>
          <cell r="K83">
            <v>14</v>
          </cell>
          <cell r="L83">
            <v>683</v>
          </cell>
        </row>
        <row r="84">
          <cell r="L84">
            <v>0</v>
          </cell>
        </row>
        <row r="85">
          <cell r="J85">
            <v>188</v>
          </cell>
          <cell r="K85">
            <v>2</v>
          </cell>
          <cell r="L85">
            <v>190</v>
          </cell>
        </row>
        <row r="86">
          <cell r="L86">
            <v>0</v>
          </cell>
        </row>
        <row r="87">
          <cell r="J87">
            <v>380</v>
          </cell>
          <cell r="K87">
            <v>4</v>
          </cell>
          <cell r="L87">
            <v>384</v>
          </cell>
        </row>
        <row r="88">
          <cell r="L88">
            <v>0</v>
          </cell>
        </row>
        <row r="89">
          <cell r="L89">
            <v>0</v>
          </cell>
        </row>
        <row r="90">
          <cell r="J90">
            <v>1</v>
          </cell>
          <cell r="L90">
            <v>1</v>
          </cell>
        </row>
        <row r="91">
          <cell r="J91">
            <v>1</v>
          </cell>
          <cell r="L91">
            <v>1</v>
          </cell>
        </row>
        <row r="92">
          <cell r="J92">
            <v>247</v>
          </cell>
          <cell r="K92">
            <v>82</v>
          </cell>
          <cell r="L92">
            <v>329</v>
          </cell>
        </row>
        <row r="93">
          <cell r="J93">
            <v>47</v>
          </cell>
          <cell r="K93">
            <v>311</v>
          </cell>
          <cell r="L93">
            <v>358</v>
          </cell>
        </row>
        <row r="94">
          <cell r="L94">
            <v>0</v>
          </cell>
        </row>
        <row r="95">
          <cell r="J95">
            <v>17182</v>
          </cell>
          <cell r="K95">
            <v>431</v>
          </cell>
          <cell r="L95">
            <v>17613</v>
          </cell>
        </row>
        <row r="96">
          <cell r="L96">
            <v>0</v>
          </cell>
        </row>
        <row r="97">
          <cell r="J97">
            <v>1487</v>
          </cell>
          <cell r="K97">
            <v>-2</v>
          </cell>
          <cell r="L97">
            <v>1485</v>
          </cell>
        </row>
        <row r="98">
          <cell r="J98">
            <v>475</v>
          </cell>
          <cell r="K98">
            <v>434</v>
          </cell>
          <cell r="L98">
            <v>909</v>
          </cell>
        </row>
        <row r="99">
          <cell r="J99">
            <v>8</v>
          </cell>
          <cell r="K99">
            <v>163</v>
          </cell>
          <cell r="L99">
            <v>171</v>
          </cell>
        </row>
        <row r="100">
          <cell r="J100">
            <v>3</v>
          </cell>
          <cell r="K100">
            <v>96</v>
          </cell>
          <cell r="L100">
            <v>99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J103">
            <v>9</v>
          </cell>
          <cell r="K103">
            <v>21</v>
          </cell>
          <cell r="L103">
            <v>30</v>
          </cell>
        </row>
        <row r="104">
          <cell r="J104">
            <v>307</v>
          </cell>
          <cell r="K104">
            <v>62</v>
          </cell>
          <cell r="L104">
            <v>369</v>
          </cell>
        </row>
        <row r="105">
          <cell r="J105">
            <v>196</v>
          </cell>
          <cell r="K105">
            <v>34</v>
          </cell>
          <cell r="L105">
            <v>230</v>
          </cell>
        </row>
        <row r="106">
          <cell r="J106">
            <v>34</v>
          </cell>
          <cell r="L106">
            <v>34</v>
          </cell>
        </row>
        <row r="107">
          <cell r="J107">
            <v>1</v>
          </cell>
          <cell r="K107">
            <v>36</v>
          </cell>
          <cell r="L107">
            <v>37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J110">
            <v>22</v>
          </cell>
          <cell r="K110">
            <v>112</v>
          </cell>
          <cell r="L110">
            <v>134</v>
          </cell>
        </row>
        <row r="111">
          <cell r="J111">
            <v>18</v>
          </cell>
          <cell r="K111">
            <v>175</v>
          </cell>
          <cell r="L111">
            <v>193</v>
          </cell>
        </row>
        <row r="112">
          <cell r="J112">
            <v>3</v>
          </cell>
          <cell r="K112">
            <v>83</v>
          </cell>
          <cell r="L112">
            <v>86</v>
          </cell>
        </row>
        <row r="113">
          <cell r="L113">
            <v>0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J120">
            <v>10</v>
          </cell>
          <cell r="L120">
            <v>10</v>
          </cell>
        </row>
        <row r="121">
          <cell r="J121">
            <v>286</v>
          </cell>
          <cell r="K121">
            <v>1</v>
          </cell>
          <cell r="L121">
            <v>287</v>
          </cell>
        </row>
        <row r="122">
          <cell r="J122">
            <v>3</v>
          </cell>
          <cell r="L122">
            <v>3</v>
          </cell>
        </row>
        <row r="123">
          <cell r="J123">
            <v>26</v>
          </cell>
          <cell r="L123">
            <v>26</v>
          </cell>
        </row>
        <row r="124">
          <cell r="J124">
            <v>18</v>
          </cell>
          <cell r="L124">
            <v>18</v>
          </cell>
        </row>
        <row r="125">
          <cell r="J125">
            <v>2</v>
          </cell>
          <cell r="L125">
            <v>2</v>
          </cell>
        </row>
        <row r="126">
          <cell r="J126">
            <v>278</v>
          </cell>
          <cell r="K126">
            <v>345</v>
          </cell>
          <cell r="L126">
            <v>623</v>
          </cell>
        </row>
        <row r="127">
          <cell r="J127">
            <v>94</v>
          </cell>
          <cell r="K127">
            <v>108</v>
          </cell>
          <cell r="L127">
            <v>202</v>
          </cell>
        </row>
        <row r="128">
          <cell r="J128">
            <v>284</v>
          </cell>
          <cell r="K128">
            <v>381</v>
          </cell>
          <cell r="L128">
            <v>665</v>
          </cell>
        </row>
        <row r="129">
          <cell r="J129">
            <v>1</v>
          </cell>
          <cell r="L129">
            <v>1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J132">
            <v>1</v>
          </cell>
          <cell r="L132">
            <v>1</v>
          </cell>
        </row>
        <row r="133">
          <cell r="J133">
            <v>37</v>
          </cell>
          <cell r="K133">
            <v>13</v>
          </cell>
          <cell r="L133">
            <v>50</v>
          </cell>
        </row>
        <row r="134">
          <cell r="J134">
            <v>24</v>
          </cell>
          <cell r="L134">
            <v>24</v>
          </cell>
        </row>
        <row r="135">
          <cell r="J135">
            <v>173</v>
          </cell>
          <cell r="L135">
            <v>173</v>
          </cell>
        </row>
        <row r="136">
          <cell r="J136">
            <v>1</v>
          </cell>
          <cell r="L136">
            <v>1</v>
          </cell>
        </row>
        <row r="137">
          <cell r="J137">
            <v>25</v>
          </cell>
          <cell r="K137">
            <v>10</v>
          </cell>
          <cell r="L137">
            <v>35</v>
          </cell>
        </row>
        <row r="138">
          <cell r="J138">
            <v>21</v>
          </cell>
          <cell r="K138">
            <v>13</v>
          </cell>
          <cell r="L138">
            <v>34</v>
          </cell>
        </row>
        <row r="139">
          <cell r="J139">
            <v>140</v>
          </cell>
          <cell r="K139">
            <v>211</v>
          </cell>
          <cell r="L139">
            <v>351</v>
          </cell>
        </row>
        <row r="140">
          <cell r="J140">
            <v>377</v>
          </cell>
          <cell r="K140">
            <v>1497</v>
          </cell>
          <cell r="L140">
            <v>1874</v>
          </cell>
        </row>
        <row r="141">
          <cell r="J141">
            <v>19142</v>
          </cell>
          <cell r="K141">
            <v>17874</v>
          </cell>
          <cell r="L141">
            <v>37016</v>
          </cell>
        </row>
        <row r="142">
          <cell r="J142">
            <v>10026</v>
          </cell>
          <cell r="K142">
            <v>8568</v>
          </cell>
          <cell r="L142">
            <v>18594</v>
          </cell>
        </row>
        <row r="143">
          <cell r="J143">
            <v>116</v>
          </cell>
          <cell r="K143">
            <v>614</v>
          </cell>
          <cell r="L143">
            <v>730</v>
          </cell>
        </row>
        <row r="144">
          <cell r="J144">
            <v>3113</v>
          </cell>
          <cell r="K144">
            <v>2206</v>
          </cell>
          <cell r="L144">
            <v>5319</v>
          </cell>
        </row>
        <row r="145">
          <cell r="J145">
            <v>591</v>
          </cell>
          <cell r="K145">
            <v>927</v>
          </cell>
          <cell r="L145">
            <v>1518</v>
          </cell>
        </row>
        <row r="146">
          <cell r="J146">
            <v>3186</v>
          </cell>
          <cell r="K146">
            <v>4395</v>
          </cell>
          <cell r="L146">
            <v>7581</v>
          </cell>
        </row>
        <row r="147">
          <cell r="J147">
            <v>1706</v>
          </cell>
          <cell r="K147">
            <v>5147</v>
          </cell>
          <cell r="L147">
            <v>6853</v>
          </cell>
        </row>
        <row r="148">
          <cell r="J148">
            <v>38</v>
          </cell>
          <cell r="K148">
            <v>58</v>
          </cell>
          <cell r="L148">
            <v>96</v>
          </cell>
        </row>
        <row r="149">
          <cell r="J149">
            <v>4678</v>
          </cell>
          <cell r="K149">
            <v>1504</v>
          </cell>
          <cell r="L149">
            <v>6182</v>
          </cell>
        </row>
        <row r="150">
          <cell r="J150">
            <v>82</v>
          </cell>
          <cell r="K150">
            <v>1609</v>
          </cell>
          <cell r="L150">
            <v>1691</v>
          </cell>
        </row>
        <row r="151">
          <cell r="J151">
            <v>963</v>
          </cell>
          <cell r="K151">
            <v>1193</v>
          </cell>
          <cell r="L151">
            <v>2156</v>
          </cell>
        </row>
        <row r="152">
          <cell r="J152">
            <v>89</v>
          </cell>
          <cell r="K152">
            <v>51</v>
          </cell>
          <cell r="L152">
            <v>140</v>
          </cell>
        </row>
        <row r="153">
          <cell r="J153">
            <v>57</v>
          </cell>
          <cell r="K153">
            <v>90</v>
          </cell>
          <cell r="L153">
            <v>147</v>
          </cell>
        </row>
        <row r="154">
          <cell r="J154">
            <v>230</v>
          </cell>
          <cell r="K154">
            <v>387</v>
          </cell>
          <cell r="L154">
            <v>617</v>
          </cell>
        </row>
        <row r="155">
          <cell r="J155">
            <v>3</v>
          </cell>
          <cell r="K155">
            <v>630</v>
          </cell>
          <cell r="L155">
            <v>633</v>
          </cell>
        </row>
        <row r="156">
          <cell r="L156">
            <v>0</v>
          </cell>
        </row>
        <row r="157">
          <cell r="J157">
            <v>220</v>
          </cell>
          <cell r="K157">
            <v>905</v>
          </cell>
          <cell r="L157">
            <v>1125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J166">
            <v>1</v>
          </cell>
          <cell r="L166">
            <v>1</v>
          </cell>
        </row>
        <row r="167">
          <cell r="J167">
            <v>4328</v>
          </cell>
          <cell r="K167">
            <v>4786</v>
          </cell>
          <cell r="L167">
            <v>9114</v>
          </cell>
        </row>
        <row r="168">
          <cell r="J168">
            <v>200</v>
          </cell>
          <cell r="K168">
            <v>368</v>
          </cell>
          <cell r="L168">
            <v>568</v>
          </cell>
        </row>
        <row r="169">
          <cell r="K169">
            <v>2</v>
          </cell>
          <cell r="L169">
            <v>2</v>
          </cell>
        </row>
        <row r="170">
          <cell r="J170">
            <v>423</v>
          </cell>
          <cell r="K170">
            <v>219</v>
          </cell>
          <cell r="L170">
            <v>642</v>
          </cell>
        </row>
        <row r="171">
          <cell r="J171">
            <v>1918</v>
          </cell>
          <cell r="K171">
            <v>886</v>
          </cell>
          <cell r="L171">
            <v>2804</v>
          </cell>
        </row>
        <row r="172">
          <cell r="J172">
            <v>12</v>
          </cell>
          <cell r="K172">
            <v>52</v>
          </cell>
          <cell r="L172">
            <v>64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J176">
            <v>285</v>
          </cell>
          <cell r="K176">
            <v>635</v>
          </cell>
          <cell r="L176">
            <v>920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J180">
            <v>2215</v>
          </cell>
          <cell r="K180">
            <v>1573</v>
          </cell>
          <cell r="L180">
            <v>3788</v>
          </cell>
        </row>
        <row r="181">
          <cell r="K181">
            <v>2611</v>
          </cell>
          <cell r="L181">
            <v>2611</v>
          </cell>
        </row>
        <row r="182">
          <cell r="L182">
            <v>0</v>
          </cell>
        </row>
        <row r="183">
          <cell r="J183">
            <v>579</v>
          </cell>
          <cell r="K183">
            <v>446</v>
          </cell>
          <cell r="L183">
            <v>1025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K193">
            <v>94</v>
          </cell>
          <cell r="L193">
            <v>94</v>
          </cell>
        </row>
        <row r="194">
          <cell r="J194">
            <v>1</v>
          </cell>
          <cell r="K194">
            <v>62</v>
          </cell>
          <cell r="L194">
            <v>63</v>
          </cell>
        </row>
        <row r="195">
          <cell r="J195">
            <v>1613</v>
          </cell>
          <cell r="K195">
            <v>63</v>
          </cell>
          <cell r="L195">
            <v>1676</v>
          </cell>
        </row>
        <row r="196">
          <cell r="J196">
            <v>339</v>
          </cell>
          <cell r="K196">
            <v>5</v>
          </cell>
          <cell r="L196">
            <v>344</v>
          </cell>
        </row>
        <row r="197">
          <cell r="J197">
            <v>1779</v>
          </cell>
          <cell r="K197">
            <v>480</v>
          </cell>
          <cell r="L197">
            <v>2259</v>
          </cell>
        </row>
        <row r="198">
          <cell r="L198">
            <v>0</v>
          </cell>
        </row>
        <row r="199">
          <cell r="K199">
            <v>730</v>
          </cell>
          <cell r="L199">
            <v>730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0</v>
          </cell>
        </row>
        <row r="204">
          <cell r="L204">
            <v>0</v>
          </cell>
        </row>
        <row r="205">
          <cell r="L205">
            <v>0</v>
          </cell>
        </row>
        <row r="206">
          <cell r="J206">
            <v>1256</v>
          </cell>
          <cell r="K206">
            <v>1369</v>
          </cell>
          <cell r="L206">
            <v>2625</v>
          </cell>
        </row>
        <row r="207">
          <cell r="L207">
            <v>0</v>
          </cell>
        </row>
        <row r="208">
          <cell r="K208">
            <v>238</v>
          </cell>
          <cell r="L208">
            <v>238</v>
          </cell>
        </row>
        <row r="209">
          <cell r="J209">
            <v>109</v>
          </cell>
          <cell r="K209">
            <v>11</v>
          </cell>
          <cell r="L209">
            <v>120</v>
          </cell>
        </row>
        <row r="210">
          <cell r="J210">
            <v>17</v>
          </cell>
          <cell r="K210">
            <v>25</v>
          </cell>
          <cell r="L210">
            <v>42</v>
          </cell>
        </row>
        <row r="211">
          <cell r="J211">
            <v>72</v>
          </cell>
          <cell r="K211">
            <v>379</v>
          </cell>
          <cell r="L211">
            <v>451</v>
          </cell>
        </row>
        <row r="212">
          <cell r="K212">
            <v>14</v>
          </cell>
          <cell r="L212">
            <v>14</v>
          </cell>
        </row>
        <row r="213">
          <cell r="K213">
            <v>2</v>
          </cell>
          <cell r="L213">
            <v>2</v>
          </cell>
        </row>
        <row r="214">
          <cell r="J214">
            <v>123</v>
          </cell>
          <cell r="K214">
            <v>94</v>
          </cell>
          <cell r="L214">
            <v>217</v>
          </cell>
        </row>
        <row r="215">
          <cell r="L215">
            <v>0</v>
          </cell>
        </row>
        <row r="216">
          <cell r="K216">
            <v>122</v>
          </cell>
          <cell r="L216">
            <v>122</v>
          </cell>
        </row>
        <row r="217">
          <cell r="K217">
            <v>93</v>
          </cell>
          <cell r="L217">
            <v>93</v>
          </cell>
        </row>
        <row r="218">
          <cell r="J218">
            <v>1</v>
          </cell>
          <cell r="K218">
            <v>136</v>
          </cell>
          <cell r="L218">
            <v>137</v>
          </cell>
        </row>
        <row r="219">
          <cell r="J219">
            <v>3</v>
          </cell>
          <cell r="K219">
            <v>1652</v>
          </cell>
          <cell r="L219">
            <v>1655</v>
          </cell>
        </row>
        <row r="220">
          <cell r="K220">
            <v>1</v>
          </cell>
          <cell r="L220">
            <v>1</v>
          </cell>
        </row>
        <row r="221">
          <cell r="L221">
            <v>0</v>
          </cell>
        </row>
        <row r="222">
          <cell r="J222">
            <v>2</v>
          </cell>
          <cell r="K222">
            <v>661</v>
          </cell>
          <cell r="L222">
            <v>663</v>
          </cell>
        </row>
        <row r="223">
          <cell r="J223">
            <v>3</v>
          </cell>
          <cell r="K223">
            <v>932</v>
          </cell>
          <cell r="L223">
            <v>935</v>
          </cell>
        </row>
        <row r="224">
          <cell r="K224">
            <v>9</v>
          </cell>
          <cell r="L224">
            <v>9</v>
          </cell>
        </row>
        <row r="225">
          <cell r="K225">
            <v>2</v>
          </cell>
          <cell r="L225">
            <v>2</v>
          </cell>
        </row>
        <row r="226">
          <cell r="J226">
            <v>0</v>
          </cell>
          <cell r="K226">
            <v>0</v>
          </cell>
          <cell r="L226">
            <v>0</v>
          </cell>
        </row>
        <row r="227">
          <cell r="K227">
            <v>164</v>
          </cell>
          <cell r="L227">
            <v>164</v>
          </cell>
        </row>
        <row r="228">
          <cell r="L228">
            <v>0</v>
          </cell>
        </row>
        <row r="229">
          <cell r="K229">
            <v>821</v>
          </cell>
          <cell r="L229">
            <v>821</v>
          </cell>
        </row>
        <row r="230">
          <cell r="J230">
            <v>10</v>
          </cell>
          <cell r="K230">
            <v>456</v>
          </cell>
          <cell r="L230">
            <v>466</v>
          </cell>
        </row>
        <row r="231">
          <cell r="J231">
            <v>3</v>
          </cell>
          <cell r="K231">
            <v>181</v>
          </cell>
          <cell r="L231">
            <v>184</v>
          </cell>
        </row>
        <row r="232">
          <cell r="L232">
            <v>0</v>
          </cell>
        </row>
        <row r="233">
          <cell r="L233">
            <v>0</v>
          </cell>
        </row>
        <row r="234">
          <cell r="J234">
            <v>3</v>
          </cell>
          <cell r="K234">
            <v>375</v>
          </cell>
          <cell r="L234">
            <v>378</v>
          </cell>
        </row>
        <row r="235">
          <cell r="K235">
            <v>76</v>
          </cell>
          <cell r="L235">
            <v>76</v>
          </cell>
        </row>
        <row r="236">
          <cell r="J236">
            <v>1</v>
          </cell>
          <cell r="K236">
            <v>139</v>
          </cell>
          <cell r="L236">
            <v>140</v>
          </cell>
        </row>
        <row r="237">
          <cell r="J237">
            <v>1</v>
          </cell>
          <cell r="K237">
            <v>962</v>
          </cell>
          <cell r="L237">
            <v>963</v>
          </cell>
        </row>
        <row r="238">
          <cell r="J238">
            <v>1</v>
          </cell>
          <cell r="K238">
            <v>134</v>
          </cell>
          <cell r="L238">
            <v>135</v>
          </cell>
        </row>
        <row r="239">
          <cell r="K239">
            <v>140</v>
          </cell>
          <cell r="L239">
            <v>140</v>
          </cell>
        </row>
        <row r="240">
          <cell r="J240">
            <v>1</v>
          </cell>
          <cell r="K240">
            <v>304</v>
          </cell>
          <cell r="L240">
            <v>305</v>
          </cell>
        </row>
        <row r="241">
          <cell r="K241">
            <v>28</v>
          </cell>
          <cell r="L241">
            <v>28</v>
          </cell>
        </row>
        <row r="242">
          <cell r="J242">
            <v>1</v>
          </cell>
          <cell r="K242">
            <v>293</v>
          </cell>
          <cell r="L242">
            <v>294</v>
          </cell>
        </row>
        <row r="243">
          <cell r="J243">
            <v>6</v>
          </cell>
          <cell r="K243">
            <v>289</v>
          </cell>
          <cell r="L243">
            <v>295</v>
          </cell>
        </row>
        <row r="244">
          <cell r="L244">
            <v>0</v>
          </cell>
        </row>
        <row r="245">
          <cell r="K245">
            <v>22</v>
          </cell>
          <cell r="L245">
            <v>22</v>
          </cell>
        </row>
        <row r="246">
          <cell r="K246">
            <v>94</v>
          </cell>
          <cell r="L246">
            <v>94</v>
          </cell>
        </row>
        <row r="247">
          <cell r="K247">
            <v>73</v>
          </cell>
          <cell r="L247">
            <v>73</v>
          </cell>
        </row>
        <row r="248">
          <cell r="J248">
            <v>1</v>
          </cell>
          <cell r="K248">
            <v>68</v>
          </cell>
          <cell r="L248">
            <v>69</v>
          </cell>
        </row>
        <row r="249">
          <cell r="K249">
            <v>103</v>
          </cell>
          <cell r="L249">
            <v>103</v>
          </cell>
        </row>
        <row r="250">
          <cell r="J250">
            <v>5</v>
          </cell>
          <cell r="K250">
            <v>547</v>
          </cell>
          <cell r="L250">
            <v>552</v>
          </cell>
        </row>
        <row r="251">
          <cell r="L251">
            <v>0</v>
          </cell>
        </row>
        <row r="252">
          <cell r="K252">
            <v>79</v>
          </cell>
          <cell r="L252">
            <v>79</v>
          </cell>
        </row>
        <row r="253">
          <cell r="J253">
            <v>5</v>
          </cell>
          <cell r="K253">
            <v>1039</v>
          </cell>
          <cell r="L253">
            <v>1044</v>
          </cell>
        </row>
        <row r="254">
          <cell r="J254">
            <v>4</v>
          </cell>
          <cell r="K254">
            <v>1520</v>
          </cell>
          <cell r="L254">
            <v>1524</v>
          </cell>
        </row>
        <row r="255">
          <cell r="J255">
            <v>3</v>
          </cell>
          <cell r="K255">
            <v>594</v>
          </cell>
          <cell r="L255">
            <v>597</v>
          </cell>
        </row>
        <row r="256">
          <cell r="J256">
            <v>2</v>
          </cell>
          <cell r="K256">
            <v>898</v>
          </cell>
          <cell r="L256">
            <v>900</v>
          </cell>
        </row>
        <row r="257">
          <cell r="K257">
            <v>143</v>
          </cell>
          <cell r="L257">
            <v>143</v>
          </cell>
        </row>
        <row r="258">
          <cell r="J258">
            <v>1</v>
          </cell>
          <cell r="K258">
            <v>298</v>
          </cell>
          <cell r="L258">
            <v>299</v>
          </cell>
        </row>
        <row r="259">
          <cell r="J259">
            <v>20</v>
          </cell>
          <cell r="K259">
            <v>294</v>
          </cell>
          <cell r="L259">
            <v>314</v>
          </cell>
        </row>
        <row r="260">
          <cell r="J260">
            <v>4</v>
          </cell>
          <cell r="K260">
            <v>378</v>
          </cell>
          <cell r="L260">
            <v>382</v>
          </cell>
        </row>
        <row r="261">
          <cell r="J261">
            <v>2</v>
          </cell>
          <cell r="K261">
            <v>530</v>
          </cell>
          <cell r="L261">
            <v>532</v>
          </cell>
        </row>
        <row r="262">
          <cell r="J262">
            <v>67</v>
          </cell>
          <cell r="K262">
            <v>111</v>
          </cell>
          <cell r="L262">
            <v>178</v>
          </cell>
        </row>
        <row r="263">
          <cell r="J263">
            <v>1</v>
          </cell>
          <cell r="K263">
            <v>59</v>
          </cell>
          <cell r="L263">
            <v>60</v>
          </cell>
        </row>
        <row r="264">
          <cell r="K264">
            <v>64</v>
          </cell>
          <cell r="L264">
            <v>64</v>
          </cell>
        </row>
        <row r="265">
          <cell r="K265">
            <v>13</v>
          </cell>
          <cell r="L265">
            <v>13</v>
          </cell>
        </row>
        <row r="266">
          <cell r="J266">
            <v>1</v>
          </cell>
          <cell r="K266">
            <v>136</v>
          </cell>
          <cell r="L266">
            <v>137</v>
          </cell>
        </row>
        <row r="267">
          <cell r="J267">
            <v>2</v>
          </cell>
          <cell r="K267">
            <v>244</v>
          </cell>
          <cell r="L267">
            <v>246</v>
          </cell>
        </row>
        <row r="268">
          <cell r="L268">
            <v>0</v>
          </cell>
        </row>
        <row r="269">
          <cell r="J269">
            <v>3</v>
          </cell>
          <cell r="K269">
            <v>26</v>
          </cell>
          <cell r="L269">
            <v>29</v>
          </cell>
        </row>
        <row r="270">
          <cell r="K270">
            <v>84</v>
          </cell>
          <cell r="L270">
            <v>84</v>
          </cell>
        </row>
        <row r="271">
          <cell r="K271">
            <v>17</v>
          </cell>
          <cell r="L271">
            <v>17</v>
          </cell>
        </row>
        <row r="272">
          <cell r="J272">
            <v>1</v>
          </cell>
          <cell r="K272">
            <v>174</v>
          </cell>
          <cell r="L272">
            <v>175</v>
          </cell>
        </row>
        <row r="273">
          <cell r="J273">
            <v>1</v>
          </cell>
          <cell r="K273">
            <v>451</v>
          </cell>
          <cell r="L273">
            <v>452</v>
          </cell>
        </row>
        <row r="274">
          <cell r="K274">
            <v>201</v>
          </cell>
          <cell r="L274">
            <v>201</v>
          </cell>
        </row>
        <row r="275">
          <cell r="K275">
            <v>546</v>
          </cell>
          <cell r="L275">
            <v>546</v>
          </cell>
        </row>
        <row r="276">
          <cell r="K276">
            <v>439</v>
          </cell>
          <cell r="L276">
            <v>439</v>
          </cell>
        </row>
        <row r="277">
          <cell r="J277">
            <v>1</v>
          </cell>
          <cell r="K277">
            <v>1637</v>
          </cell>
          <cell r="L277">
            <v>1638</v>
          </cell>
        </row>
        <row r="278">
          <cell r="K278">
            <v>653</v>
          </cell>
          <cell r="L278">
            <v>653</v>
          </cell>
        </row>
        <row r="279">
          <cell r="K279">
            <v>147</v>
          </cell>
          <cell r="L279">
            <v>147</v>
          </cell>
        </row>
        <row r="280">
          <cell r="J280">
            <v>19</v>
          </cell>
          <cell r="K280">
            <v>937</v>
          </cell>
          <cell r="L280">
            <v>956</v>
          </cell>
        </row>
        <row r="281">
          <cell r="K281">
            <v>30</v>
          </cell>
          <cell r="L281">
            <v>30</v>
          </cell>
        </row>
        <row r="282">
          <cell r="K282">
            <v>53</v>
          </cell>
          <cell r="L282">
            <v>53</v>
          </cell>
        </row>
        <row r="283">
          <cell r="K283">
            <v>57</v>
          </cell>
          <cell r="L283">
            <v>57</v>
          </cell>
        </row>
        <row r="284">
          <cell r="J284">
            <v>1</v>
          </cell>
          <cell r="K284">
            <v>162</v>
          </cell>
          <cell r="L284">
            <v>163</v>
          </cell>
        </row>
        <row r="285">
          <cell r="L285">
            <v>0</v>
          </cell>
        </row>
        <row r="286">
          <cell r="J286">
            <v>1</v>
          </cell>
          <cell r="K286">
            <v>222</v>
          </cell>
          <cell r="L286">
            <v>223</v>
          </cell>
        </row>
        <row r="287">
          <cell r="J287">
            <v>1</v>
          </cell>
          <cell r="K287">
            <v>90</v>
          </cell>
          <cell r="L287">
            <v>91</v>
          </cell>
        </row>
        <row r="288">
          <cell r="J288">
            <v>1</v>
          </cell>
          <cell r="K288">
            <v>118</v>
          </cell>
          <cell r="L288">
            <v>119</v>
          </cell>
        </row>
        <row r="289">
          <cell r="K289">
            <v>74</v>
          </cell>
          <cell r="L289">
            <v>74</v>
          </cell>
        </row>
        <row r="290">
          <cell r="K290">
            <v>189</v>
          </cell>
          <cell r="L290">
            <v>189</v>
          </cell>
        </row>
        <row r="291">
          <cell r="J291">
            <v>1</v>
          </cell>
          <cell r="K291">
            <v>92</v>
          </cell>
          <cell r="L291">
            <v>93</v>
          </cell>
        </row>
        <row r="292">
          <cell r="L292">
            <v>0</v>
          </cell>
        </row>
        <row r="293">
          <cell r="J293">
            <v>1</v>
          </cell>
          <cell r="K293">
            <v>52</v>
          </cell>
          <cell r="L293">
            <v>53</v>
          </cell>
        </row>
        <row r="294">
          <cell r="J294">
            <v>193</v>
          </cell>
          <cell r="K294">
            <v>184</v>
          </cell>
          <cell r="L294">
            <v>377</v>
          </cell>
        </row>
        <row r="295">
          <cell r="J295">
            <v>1</v>
          </cell>
          <cell r="K295">
            <v>136</v>
          </cell>
          <cell r="L295">
            <v>137</v>
          </cell>
        </row>
        <row r="296">
          <cell r="J296">
            <v>1</v>
          </cell>
          <cell r="K296">
            <v>150</v>
          </cell>
          <cell r="L296">
            <v>151</v>
          </cell>
        </row>
        <row r="297">
          <cell r="J297">
            <v>4</v>
          </cell>
          <cell r="K297">
            <v>894</v>
          </cell>
          <cell r="L297">
            <v>898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K300">
            <v>562</v>
          </cell>
          <cell r="L300">
            <v>562</v>
          </cell>
        </row>
        <row r="301">
          <cell r="J301">
            <v>22</v>
          </cell>
          <cell r="K301">
            <v>432</v>
          </cell>
          <cell r="L301">
            <v>454</v>
          </cell>
        </row>
        <row r="302">
          <cell r="J302">
            <v>2</v>
          </cell>
          <cell r="K302">
            <v>245</v>
          </cell>
          <cell r="L302">
            <v>247</v>
          </cell>
        </row>
        <row r="303">
          <cell r="K303">
            <v>29</v>
          </cell>
          <cell r="L303">
            <v>29</v>
          </cell>
        </row>
        <row r="304">
          <cell r="K304">
            <v>556</v>
          </cell>
          <cell r="L304">
            <v>556</v>
          </cell>
        </row>
        <row r="305">
          <cell r="J305">
            <v>5</v>
          </cell>
          <cell r="K305">
            <v>298</v>
          </cell>
          <cell r="L305">
            <v>303</v>
          </cell>
        </row>
        <row r="306">
          <cell r="J306">
            <v>2</v>
          </cell>
          <cell r="K306">
            <v>386</v>
          </cell>
          <cell r="L306">
            <v>388</v>
          </cell>
        </row>
        <row r="307">
          <cell r="K307">
            <v>19</v>
          </cell>
          <cell r="L307">
            <v>19</v>
          </cell>
        </row>
        <row r="308">
          <cell r="K308">
            <v>237</v>
          </cell>
          <cell r="L308">
            <v>237</v>
          </cell>
        </row>
        <row r="309">
          <cell r="K309">
            <v>37</v>
          </cell>
          <cell r="L309">
            <v>37</v>
          </cell>
        </row>
        <row r="310">
          <cell r="L310">
            <v>0</v>
          </cell>
        </row>
        <row r="311">
          <cell r="J311">
            <v>248</v>
          </cell>
          <cell r="K311">
            <v>2585</v>
          </cell>
          <cell r="L311">
            <v>2833</v>
          </cell>
        </row>
        <row r="312">
          <cell r="J312">
            <v>17</v>
          </cell>
          <cell r="K312">
            <v>9</v>
          </cell>
          <cell r="L312">
            <v>26</v>
          </cell>
        </row>
        <row r="313">
          <cell r="J313">
            <v>9</v>
          </cell>
          <cell r="K313">
            <v>4</v>
          </cell>
          <cell r="L313">
            <v>13</v>
          </cell>
        </row>
        <row r="314">
          <cell r="J314">
            <v>66</v>
          </cell>
          <cell r="K314">
            <v>44</v>
          </cell>
          <cell r="L314">
            <v>110</v>
          </cell>
        </row>
        <row r="315">
          <cell r="J315">
            <v>8</v>
          </cell>
          <cell r="K315">
            <v>24</v>
          </cell>
          <cell r="L315">
            <v>32</v>
          </cell>
        </row>
        <row r="316">
          <cell r="K316">
            <v>2</v>
          </cell>
          <cell r="L316">
            <v>2</v>
          </cell>
        </row>
        <row r="317">
          <cell r="J317">
            <v>15</v>
          </cell>
          <cell r="K317">
            <v>87</v>
          </cell>
          <cell r="L317">
            <v>102</v>
          </cell>
        </row>
        <row r="318">
          <cell r="J318">
            <v>34</v>
          </cell>
          <cell r="K318">
            <v>581</v>
          </cell>
          <cell r="L318">
            <v>615</v>
          </cell>
        </row>
        <row r="319">
          <cell r="L319">
            <v>0</v>
          </cell>
        </row>
        <row r="320">
          <cell r="J320">
            <v>93944</v>
          </cell>
          <cell r="K320">
            <v>110209.25</v>
          </cell>
          <cell r="L320">
            <v>204153.25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bedcount"/>
      <sheetName val="statss_FY2008"/>
      <sheetName val="statss2_FY2008"/>
      <sheetName val="statss3_FY2008"/>
      <sheetName val="statss1 Lab-Rad-Ancill_FY2008"/>
      <sheetName val="budget"/>
      <sheetName val="budget_ASAP"/>
      <sheetName val="budget_CPC"/>
      <sheetName val="budget_UPC"/>
      <sheetName val="budget_disch"/>
      <sheetName val="budget_OR"/>
      <sheetName val="ISROLL_Bud UH_June09 091008v2"/>
      <sheetName val="BUDHRS_Roll UH_as of 10092008"/>
      <sheetName val="budget_CPCdischarge"/>
      <sheetName val="budget_UPCdischarge"/>
    </sheetNames>
    <sheetDataSet>
      <sheetData sheetId="0">
        <row r="3">
          <cell r="B3" t="str">
            <v>Dec</v>
          </cell>
        </row>
        <row r="6">
          <cell r="B6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_summary_YTD"/>
      <sheetName val="admin_summary"/>
      <sheetName val="GRAPHS"/>
      <sheetName val="UH_Slides"/>
      <sheetName val="OCO_Slides"/>
      <sheetName val="UNMH FTE and Stat"/>
      <sheetName val="SRMC FTE and Stat"/>
      <sheetName val="Cost Centers"/>
      <sheetName val="Board_Stats"/>
      <sheetName val="NURSING"/>
      <sheetName val="EMERGENCY"/>
      <sheetName val="CLINIC_AMB"/>
      <sheetName val="ANCILLARY"/>
      <sheetName val="CPC"/>
      <sheetName val="UPC"/>
      <sheetName val="ASAP"/>
      <sheetName val="SRMC"/>
      <sheetName val="By_Dept"/>
      <sheetName val="FTE_ACTUAL"/>
      <sheetName val="DATE"/>
      <sheetName val="FY16budsta"/>
      <sheetName val="FY15BudFTEs"/>
      <sheetName val="FY15BudCPOT"/>
      <sheetName val="FY15B_exp"/>
      <sheetName val="FY15B_rev"/>
      <sheetName val="FY14 mid-year inc_mod"/>
      <sheetName val="FY14FTEs_current"/>
      <sheetName val="10_14_30_40-FTEACCT FY14YTD"/>
      <sheetName val="FY15stats_current"/>
      <sheetName val="FY15disch_current"/>
      <sheetName val="FY13A_exp_current"/>
      <sheetName val="FY13A_rev_current"/>
      <sheetName val="FY14statsTB_current"/>
      <sheetName val="FY15budsta"/>
      <sheetName val="FY15dischbud"/>
      <sheetName val="FY14BudFTEs"/>
      <sheetName val="FY13B_exp"/>
      <sheetName val="FY13B_rev"/>
      <sheetName val="OBS"/>
      <sheetName val="RPS"/>
      <sheetName val="FY15stats_Pd06"/>
      <sheetName val="FY14stats"/>
      <sheetName val="FY13stats"/>
      <sheetName val="FY15disch_Pd06"/>
      <sheetName val="FY14disch"/>
      <sheetName val="FY13disch"/>
      <sheetName val="FY14FTEs_Pd06"/>
      <sheetName val="FY14BudFTEs_Pd06"/>
      <sheetName val="FY13FTEs"/>
      <sheetName val="STANDARD_HOURS"/>
      <sheetName val="Prior FY_STANDARD_HOURS"/>
      <sheetName val="FY11_STANDARD_HOURS"/>
      <sheetName val="FY12A_exp"/>
      <sheetName val="FY12A_rev"/>
      <sheetName val="BEDS"/>
      <sheetName val="CCdata"/>
      <sheetName val="stat_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B2">
            <v>6</v>
          </cell>
        </row>
        <row r="3">
          <cell r="B3">
            <v>2015</v>
          </cell>
        </row>
        <row r="7">
          <cell r="B7" t="str">
            <v>12/31/2014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25"/>
      <sheetName val="Comp SvcLine"/>
      <sheetName val="Comp Detail"/>
      <sheetName val="January"/>
      <sheetName val="Dec_2"/>
      <sheetName val="DRG Tab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DRG</v>
          </cell>
          <cell r="B1" t="str">
            <v>MEDICARE</v>
          </cell>
          <cell r="C1" t="str">
            <v>MGDCARE</v>
          </cell>
          <cell r="D1" t="str">
            <v>INSURANCE</v>
          </cell>
          <cell r="E1" t="str">
            <v>MEDICAID</v>
          </cell>
          <cell r="F1" t="str">
            <v>PENDCAID</v>
          </cell>
          <cell r="G1" t="str">
            <v>SELFPAY</v>
          </cell>
          <cell r="H1" t="str">
            <v>UNSPONS</v>
          </cell>
          <cell r="I1" t="str">
            <v>OTHER1</v>
          </cell>
          <cell r="J1" t="str">
            <v>OTHER2</v>
          </cell>
          <cell r="K1" t="str">
            <v>OTHER3</v>
          </cell>
        </row>
        <row r="2">
          <cell r="A2">
            <v>1</v>
          </cell>
          <cell r="B2">
            <v>6</v>
          </cell>
          <cell r="C2">
            <v>1</v>
          </cell>
          <cell r="D2">
            <v>2</v>
          </cell>
          <cell r="E2">
            <v>2</v>
          </cell>
          <cell r="F2">
            <v>0</v>
          </cell>
          <cell r="G2">
            <v>0</v>
          </cell>
          <cell r="H2">
            <v>5</v>
          </cell>
          <cell r="I2">
            <v>0</v>
          </cell>
          <cell r="J2">
            <v>0</v>
          </cell>
          <cell r="K2">
            <v>0</v>
          </cell>
        </row>
        <row r="3">
          <cell r="A3">
            <v>2</v>
          </cell>
          <cell r="B3">
            <v>1</v>
          </cell>
          <cell r="C3">
            <v>1</v>
          </cell>
          <cell r="D3">
            <v>0</v>
          </cell>
          <cell r="E3">
            <v>0</v>
          </cell>
          <cell r="F3">
            <v>2</v>
          </cell>
          <cell r="G3">
            <v>0</v>
          </cell>
          <cell r="H3">
            <v>2</v>
          </cell>
          <cell r="I3">
            <v>0</v>
          </cell>
          <cell r="J3">
            <v>0</v>
          </cell>
          <cell r="K3">
            <v>1</v>
          </cell>
        </row>
        <row r="4">
          <cell r="A4">
            <v>3</v>
          </cell>
          <cell r="B4">
            <v>0</v>
          </cell>
          <cell r="C4">
            <v>1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4</v>
          </cell>
          <cell r="B5">
            <v>1</v>
          </cell>
          <cell r="C5">
            <v>0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1</v>
          </cell>
          <cell r="I5">
            <v>1</v>
          </cell>
          <cell r="J5">
            <v>0</v>
          </cell>
          <cell r="K5">
            <v>0</v>
          </cell>
        </row>
        <row r="6">
          <cell r="A6">
            <v>5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8</v>
          </cell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9</v>
          </cell>
          <cell r="B8">
            <v>0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10</v>
          </cell>
          <cell r="B9">
            <v>1</v>
          </cell>
          <cell r="C9">
            <v>0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12</v>
          </cell>
          <cell r="B11">
            <v>1</v>
          </cell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13</v>
          </cell>
          <cell r="B12">
            <v>0</v>
          </cell>
          <cell r="C12">
            <v>0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14</v>
          </cell>
          <cell r="B13">
            <v>8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1</v>
          </cell>
          <cell r="H13">
            <v>2</v>
          </cell>
          <cell r="I13">
            <v>0</v>
          </cell>
          <cell r="J13">
            <v>2</v>
          </cell>
          <cell r="K13">
            <v>0</v>
          </cell>
        </row>
        <row r="14">
          <cell r="A14">
            <v>15</v>
          </cell>
          <cell r="B14">
            <v>0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2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17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18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20</v>
          </cell>
          <cell r="B17">
            <v>1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0</v>
          </cell>
        </row>
        <row r="18">
          <cell r="A18">
            <v>21</v>
          </cell>
          <cell r="B18">
            <v>1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24</v>
          </cell>
          <cell r="B19">
            <v>1</v>
          </cell>
          <cell r="C19">
            <v>0</v>
          </cell>
          <cell r="D19">
            <v>0</v>
          </cell>
          <cell r="E19">
            <v>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25</v>
          </cell>
          <cell r="B20">
            <v>1</v>
          </cell>
          <cell r="C20">
            <v>1</v>
          </cell>
          <cell r="D20">
            <v>0</v>
          </cell>
          <cell r="E20">
            <v>5</v>
          </cell>
          <cell r="F20">
            <v>1</v>
          </cell>
          <cell r="G20">
            <v>2</v>
          </cell>
          <cell r="H20">
            <v>1</v>
          </cell>
          <cell r="I20">
            <v>1</v>
          </cell>
          <cell r="J20">
            <v>0</v>
          </cell>
          <cell r="K20">
            <v>2</v>
          </cell>
        </row>
        <row r="21">
          <cell r="A21">
            <v>26</v>
          </cell>
          <cell r="B21">
            <v>0</v>
          </cell>
          <cell r="C21">
            <v>3</v>
          </cell>
          <cell r="D21">
            <v>0</v>
          </cell>
          <cell r="E21">
            <v>4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1</v>
          </cell>
        </row>
        <row r="22">
          <cell r="A22">
            <v>27</v>
          </cell>
          <cell r="B22">
            <v>1</v>
          </cell>
          <cell r="C22">
            <v>2</v>
          </cell>
          <cell r="D22">
            <v>0</v>
          </cell>
          <cell r="E22">
            <v>1</v>
          </cell>
          <cell r="F22">
            <v>0</v>
          </cell>
          <cell r="G22">
            <v>2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</row>
        <row r="23">
          <cell r="A23">
            <v>28</v>
          </cell>
          <cell r="B23">
            <v>1</v>
          </cell>
          <cell r="C23">
            <v>2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29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1</v>
          </cell>
        </row>
        <row r="25">
          <cell r="A25">
            <v>30</v>
          </cell>
          <cell r="B25">
            <v>0</v>
          </cell>
          <cell r="C25">
            <v>1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</row>
        <row r="26">
          <cell r="A26">
            <v>31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A27">
            <v>34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</row>
        <row r="28">
          <cell r="A28">
            <v>35</v>
          </cell>
          <cell r="B28">
            <v>0</v>
          </cell>
          <cell r="C28">
            <v>1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36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37</v>
          </cell>
          <cell r="B30">
            <v>0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39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41</v>
          </cell>
          <cell r="B32">
            <v>0</v>
          </cell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42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A34">
            <v>46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A35">
            <v>48</v>
          </cell>
          <cell r="B35">
            <v>0</v>
          </cell>
          <cell r="C35">
            <v>0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55</v>
          </cell>
          <cell r="B36">
            <v>0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57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58</v>
          </cell>
          <cell r="B38">
            <v>0</v>
          </cell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</row>
        <row r="39">
          <cell r="A39">
            <v>60</v>
          </cell>
          <cell r="B39">
            <v>0</v>
          </cell>
          <cell r="C39">
            <v>0</v>
          </cell>
          <cell r="D39">
            <v>0</v>
          </cell>
          <cell r="E39">
            <v>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63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66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69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70</v>
          </cell>
          <cell r="B43">
            <v>0</v>
          </cell>
          <cell r="C43">
            <v>3</v>
          </cell>
          <cell r="D43">
            <v>0</v>
          </cell>
          <cell r="E43">
            <v>6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71</v>
          </cell>
          <cell r="B44">
            <v>0</v>
          </cell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72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A46">
            <v>75</v>
          </cell>
          <cell r="B46">
            <v>1</v>
          </cell>
          <cell r="C46">
            <v>2</v>
          </cell>
          <cell r="D46">
            <v>2</v>
          </cell>
          <cell r="E46">
            <v>1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76</v>
          </cell>
          <cell r="B47">
            <v>1</v>
          </cell>
          <cell r="C47">
            <v>1</v>
          </cell>
          <cell r="D47">
            <v>0</v>
          </cell>
          <cell r="E47">
            <v>0</v>
          </cell>
          <cell r="F47">
            <v>0</v>
          </cell>
          <cell r="G47">
            <v>2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78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79</v>
          </cell>
          <cell r="B49">
            <v>0</v>
          </cell>
          <cell r="C49">
            <v>0</v>
          </cell>
          <cell r="D49">
            <v>0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80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81</v>
          </cell>
          <cell r="B51">
            <v>0</v>
          </cell>
          <cell r="C51">
            <v>0</v>
          </cell>
          <cell r="D51">
            <v>0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82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84</v>
          </cell>
          <cell r="B53">
            <v>0</v>
          </cell>
          <cell r="C53">
            <v>0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85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87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88</v>
          </cell>
          <cell r="B56">
            <v>11</v>
          </cell>
          <cell r="C56">
            <v>2</v>
          </cell>
          <cell r="D56">
            <v>0</v>
          </cell>
          <cell r="E56">
            <v>2</v>
          </cell>
          <cell r="F56">
            <v>2</v>
          </cell>
          <cell r="G56">
            <v>1</v>
          </cell>
          <cell r="H56">
            <v>3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89</v>
          </cell>
          <cell r="B57">
            <v>15</v>
          </cell>
          <cell r="C57">
            <v>1</v>
          </cell>
          <cell r="D57">
            <v>1</v>
          </cell>
          <cell r="E57">
            <v>4</v>
          </cell>
          <cell r="F57">
            <v>0</v>
          </cell>
          <cell r="G57">
            <v>3</v>
          </cell>
          <cell r="H57">
            <v>7</v>
          </cell>
          <cell r="I57">
            <v>0</v>
          </cell>
          <cell r="J57">
            <v>1</v>
          </cell>
          <cell r="K57">
            <v>1</v>
          </cell>
        </row>
        <row r="58">
          <cell r="A58">
            <v>90</v>
          </cell>
          <cell r="B58">
            <v>3</v>
          </cell>
          <cell r="C58">
            <v>0</v>
          </cell>
          <cell r="D58">
            <v>1</v>
          </cell>
          <cell r="E58">
            <v>3</v>
          </cell>
          <cell r="F58">
            <v>0</v>
          </cell>
          <cell r="G58">
            <v>2</v>
          </cell>
          <cell r="H58">
            <v>4</v>
          </cell>
          <cell r="I58">
            <v>0</v>
          </cell>
          <cell r="J58">
            <v>2</v>
          </cell>
          <cell r="K58">
            <v>0</v>
          </cell>
        </row>
        <row r="59">
          <cell r="A59">
            <v>91</v>
          </cell>
          <cell r="B59">
            <v>0</v>
          </cell>
          <cell r="C59">
            <v>0</v>
          </cell>
          <cell r="D59">
            <v>1</v>
          </cell>
          <cell r="E59">
            <v>5</v>
          </cell>
          <cell r="F59">
            <v>1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1</v>
          </cell>
        </row>
        <row r="60">
          <cell r="A60">
            <v>93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94</v>
          </cell>
          <cell r="B61">
            <v>1</v>
          </cell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95</v>
          </cell>
          <cell r="B62">
            <v>0</v>
          </cell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2</v>
          </cell>
        </row>
        <row r="63">
          <cell r="A63">
            <v>96</v>
          </cell>
          <cell r="B63">
            <v>1</v>
          </cell>
          <cell r="C63">
            <v>1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97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98</v>
          </cell>
          <cell r="B65">
            <v>0</v>
          </cell>
          <cell r="C65">
            <v>3</v>
          </cell>
          <cell r="D65">
            <v>2</v>
          </cell>
          <cell r="E65">
            <v>7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</row>
        <row r="66">
          <cell r="A66">
            <v>101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1</v>
          </cell>
          <cell r="K66">
            <v>0</v>
          </cell>
        </row>
        <row r="67">
          <cell r="A67">
            <v>102</v>
          </cell>
          <cell r="B67">
            <v>1</v>
          </cell>
          <cell r="C67">
            <v>4</v>
          </cell>
          <cell r="D67">
            <v>0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104</v>
          </cell>
          <cell r="B68">
            <v>1</v>
          </cell>
          <cell r="C68">
            <v>1</v>
          </cell>
          <cell r="D68">
            <v>0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105</v>
          </cell>
          <cell r="B69">
            <v>0</v>
          </cell>
          <cell r="C69">
            <v>1</v>
          </cell>
          <cell r="D69">
            <v>0</v>
          </cell>
          <cell r="E69">
            <v>0</v>
          </cell>
          <cell r="F69">
            <v>1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107</v>
          </cell>
          <cell r="B70">
            <v>1</v>
          </cell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109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110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112</v>
          </cell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113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114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116</v>
          </cell>
          <cell r="B76">
            <v>4</v>
          </cell>
          <cell r="C76">
            <v>1</v>
          </cell>
          <cell r="D76">
            <v>0</v>
          </cell>
          <cell r="E76">
            <v>2</v>
          </cell>
          <cell r="F76">
            <v>0</v>
          </cell>
          <cell r="G76">
            <v>2</v>
          </cell>
          <cell r="H76">
            <v>2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119</v>
          </cell>
          <cell r="B77">
            <v>0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121</v>
          </cell>
          <cell r="B79">
            <v>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122</v>
          </cell>
          <cell r="B80">
            <v>1</v>
          </cell>
          <cell r="C80">
            <v>0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124</v>
          </cell>
          <cell r="B82">
            <v>7</v>
          </cell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2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125</v>
          </cell>
          <cell r="B83">
            <v>4</v>
          </cell>
          <cell r="C83">
            <v>0</v>
          </cell>
          <cell r="D83">
            <v>1</v>
          </cell>
          <cell r="E83">
            <v>1</v>
          </cell>
          <cell r="F83">
            <v>0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127</v>
          </cell>
          <cell r="B84">
            <v>3</v>
          </cell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130</v>
          </cell>
          <cell r="B85">
            <v>0</v>
          </cell>
          <cell r="C85">
            <v>0</v>
          </cell>
          <cell r="D85">
            <v>1</v>
          </cell>
          <cell r="E85">
            <v>1</v>
          </cell>
          <cell r="F85">
            <v>0</v>
          </cell>
          <cell r="G85">
            <v>1</v>
          </cell>
          <cell r="H85">
            <v>1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131</v>
          </cell>
          <cell r="B86">
            <v>2</v>
          </cell>
          <cell r="C86">
            <v>0</v>
          </cell>
          <cell r="D86">
            <v>0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132</v>
          </cell>
          <cell r="B87">
            <v>5</v>
          </cell>
          <cell r="C87">
            <v>0</v>
          </cell>
          <cell r="D87">
            <v>1</v>
          </cell>
          <cell r="E87">
            <v>0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133</v>
          </cell>
          <cell r="B88">
            <v>0</v>
          </cell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134</v>
          </cell>
          <cell r="B89">
            <v>1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136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137</v>
          </cell>
          <cell r="B91">
            <v>0</v>
          </cell>
          <cell r="C91">
            <v>0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138</v>
          </cell>
          <cell r="B92">
            <v>5</v>
          </cell>
          <cell r="C92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139</v>
          </cell>
          <cell r="B93">
            <v>1</v>
          </cell>
          <cell r="C93">
            <v>3</v>
          </cell>
          <cell r="D93">
            <v>2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140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141</v>
          </cell>
          <cell r="B95">
            <v>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142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143</v>
          </cell>
          <cell r="B97">
            <v>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2</v>
          </cell>
          <cell r="H97">
            <v>6</v>
          </cell>
          <cell r="I97">
            <v>1</v>
          </cell>
          <cell r="J97">
            <v>0</v>
          </cell>
          <cell r="K97">
            <v>0</v>
          </cell>
        </row>
        <row r="98">
          <cell r="A98">
            <v>144</v>
          </cell>
          <cell r="B98">
            <v>1</v>
          </cell>
          <cell r="C98">
            <v>0</v>
          </cell>
          <cell r="D98">
            <v>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148</v>
          </cell>
          <cell r="B99">
            <v>8</v>
          </cell>
          <cell r="C99">
            <v>1</v>
          </cell>
          <cell r="D99">
            <v>1</v>
          </cell>
          <cell r="E99">
            <v>2</v>
          </cell>
          <cell r="F99">
            <v>1</v>
          </cell>
          <cell r="G99">
            <v>2</v>
          </cell>
          <cell r="H99">
            <v>2</v>
          </cell>
          <cell r="I99">
            <v>0</v>
          </cell>
          <cell r="J99">
            <v>1</v>
          </cell>
          <cell r="K99">
            <v>0</v>
          </cell>
        </row>
        <row r="100">
          <cell r="A100">
            <v>149</v>
          </cell>
          <cell r="B100">
            <v>0</v>
          </cell>
          <cell r="C100">
            <v>0</v>
          </cell>
          <cell r="D100">
            <v>0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150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151</v>
          </cell>
          <cell r="B102">
            <v>0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152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153</v>
          </cell>
          <cell r="B104">
            <v>0</v>
          </cell>
          <cell r="C104">
            <v>0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154</v>
          </cell>
          <cell r="B105">
            <v>1</v>
          </cell>
          <cell r="C105">
            <v>3</v>
          </cell>
          <cell r="D105">
            <v>2</v>
          </cell>
          <cell r="E105">
            <v>1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155</v>
          </cell>
          <cell r="B106">
            <v>1</v>
          </cell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156</v>
          </cell>
          <cell r="B107">
            <v>0</v>
          </cell>
          <cell r="C107">
            <v>1</v>
          </cell>
          <cell r="D107">
            <v>0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157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1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158</v>
          </cell>
          <cell r="B109">
            <v>0</v>
          </cell>
          <cell r="C109">
            <v>0</v>
          </cell>
          <cell r="D109">
            <v>0</v>
          </cell>
          <cell r="E109">
            <v>1</v>
          </cell>
          <cell r="F109">
            <v>0</v>
          </cell>
          <cell r="G109">
            <v>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159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161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163</v>
          </cell>
          <cell r="B112">
            <v>0</v>
          </cell>
          <cell r="C112">
            <v>1</v>
          </cell>
          <cell r="D112">
            <v>0</v>
          </cell>
          <cell r="E112">
            <v>4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164</v>
          </cell>
          <cell r="B113">
            <v>0</v>
          </cell>
          <cell r="C113">
            <v>0</v>
          </cell>
          <cell r="D113">
            <v>0</v>
          </cell>
          <cell r="E113">
            <v>1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165</v>
          </cell>
          <cell r="B114">
            <v>0</v>
          </cell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>
            <v>1</v>
          </cell>
          <cell r="H114">
            <v>1</v>
          </cell>
          <cell r="I114">
            <v>0</v>
          </cell>
          <cell r="J114">
            <v>0</v>
          </cell>
          <cell r="K114">
            <v>1</v>
          </cell>
        </row>
        <row r="115">
          <cell r="A115">
            <v>166</v>
          </cell>
          <cell r="B115">
            <v>1</v>
          </cell>
          <cell r="C115">
            <v>0</v>
          </cell>
          <cell r="D115">
            <v>0</v>
          </cell>
          <cell r="E115">
            <v>1</v>
          </cell>
          <cell r="F115">
            <v>0</v>
          </cell>
          <cell r="G115">
            <v>1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167</v>
          </cell>
          <cell r="B116">
            <v>0</v>
          </cell>
          <cell r="C116">
            <v>3</v>
          </cell>
          <cell r="D116">
            <v>3</v>
          </cell>
          <cell r="E116">
            <v>0</v>
          </cell>
          <cell r="F116">
            <v>2</v>
          </cell>
          <cell r="G116">
            <v>4</v>
          </cell>
          <cell r="H116">
            <v>2</v>
          </cell>
          <cell r="I116">
            <v>0</v>
          </cell>
          <cell r="J116">
            <v>1</v>
          </cell>
          <cell r="K116">
            <v>0</v>
          </cell>
        </row>
        <row r="117">
          <cell r="A117">
            <v>168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170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>
            <v>0</v>
          </cell>
        </row>
        <row r="119">
          <cell r="A119">
            <v>171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</row>
        <row r="120">
          <cell r="A120">
            <v>173</v>
          </cell>
          <cell r="B120">
            <v>0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174</v>
          </cell>
          <cell r="B121">
            <v>4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1</v>
          </cell>
          <cell r="H121">
            <v>2</v>
          </cell>
          <cell r="I121">
            <v>0</v>
          </cell>
          <cell r="J121">
            <v>3</v>
          </cell>
          <cell r="K121">
            <v>0</v>
          </cell>
        </row>
        <row r="122">
          <cell r="A122">
            <v>175</v>
          </cell>
          <cell r="B122">
            <v>2</v>
          </cell>
          <cell r="C122">
            <v>0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176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178</v>
          </cell>
          <cell r="B124">
            <v>1</v>
          </cell>
          <cell r="C124">
            <v>0</v>
          </cell>
          <cell r="D124">
            <v>0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180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181</v>
          </cell>
          <cell r="B126">
            <v>0</v>
          </cell>
          <cell r="C126">
            <v>0</v>
          </cell>
          <cell r="D126">
            <v>0</v>
          </cell>
          <cell r="E126">
            <v>1</v>
          </cell>
          <cell r="F126">
            <v>0</v>
          </cell>
          <cell r="G126">
            <v>1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182</v>
          </cell>
          <cell r="B127">
            <v>5</v>
          </cell>
          <cell r="C127">
            <v>1</v>
          </cell>
          <cell r="D127">
            <v>0</v>
          </cell>
          <cell r="E127">
            <v>3</v>
          </cell>
          <cell r="F127">
            <v>0</v>
          </cell>
          <cell r="G127">
            <v>2</v>
          </cell>
          <cell r="H127">
            <v>3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183</v>
          </cell>
          <cell r="B128">
            <v>1</v>
          </cell>
          <cell r="C128">
            <v>0</v>
          </cell>
          <cell r="D128">
            <v>1</v>
          </cell>
          <cell r="E128">
            <v>1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184</v>
          </cell>
          <cell r="B129">
            <v>0</v>
          </cell>
          <cell r="C129">
            <v>3</v>
          </cell>
          <cell r="D129">
            <v>0</v>
          </cell>
          <cell r="E129">
            <v>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188</v>
          </cell>
          <cell r="B130">
            <v>4</v>
          </cell>
          <cell r="C130">
            <v>0</v>
          </cell>
          <cell r="D130">
            <v>0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189</v>
          </cell>
          <cell r="B131">
            <v>2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190</v>
          </cell>
          <cell r="B132">
            <v>0</v>
          </cell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191</v>
          </cell>
          <cell r="B133">
            <v>1</v>
          </cell>
          <cell r="C133">
            <v>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  <cell r="J133">
            <v>0</v>
          </cell>
          <cell r="K133">
            <v>1</v>
          </cell>
        </row>
        <row r="134">
          <cell r="A134">
            <v>193</v>
          </cell>
          <cell r="B134">
            <v>1</v>
          </cell>
          <cell r="C134">
            <v>1</v>
          </cell>
          <cell r="D134">
            <v>0</v>
          </cell>
          <cell r="E134">
            <v>0</v>
          </cell>
          <cell r="F134">
            <v>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196</v>
          </cell>
          <cell r="B135">
            <v>0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197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199</v>
          </cell>
          <cell r="B137">
            <v>0</v>
          </cell>
          <cell r="C137">
            <v>0</v>
          </cell>
          <cell r="D137">
            <v>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200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202</v>
          </cell>
          <cell r="B139">
            <v>4</v>
          </cell>
          <cell r="C139">
            <v>2</v>
          </cell>
          <cell r="D139">
            <v>2</v>
          </cell>
          <cell r="E139">
            <v>5</v>
          </cell>
          <cell r="F139">
            <v>1</v>
          </cell>
          <cell r="G139">
            <v>3</v>
          </cell>
          <cell r="H139">
            <v>6</v>
          </cell>
          <cell r="I139">
            <v>0</v>
          </cell>
          <cell r="J139">
            <v>2</v>
          </cell>
          <cell r="K139">
            <v>0</v>
          </cell>
        </row>
        <row r="140">
          <cell r="A140">
            <v>203</v>
          </cell>
          <cell r="B140">
            <v>0</v>
          </cell>
          <cell r="C140">
            <v>0</v>
          </cell>
          <cell r="D140">
            <v>1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204</v>
          </cell>
          <cell r="B141">
            <v>1</v>
          </cell>
          <cell r="C141">
            <v>0</v>
          </cell>
          <cell r="D141">
            <v>0</v>
          </cell>
          <cell r="E141">
            <v>3</v>
          </cell>
          <cell r="F141">
            <v>0</v>
          </cell>
          <cell r="G141">
            <v>3</v>
          </cell>
          <cell r="H141">
            <v>3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205</v>
          </cell>
          <cell r="B142">
            <v>1</v>
          </cell>
          <cell r="C142">
            <v>1</v>
          </cell>
          <cell r="D142">
            <v>0</v>
          </cell>
          <cell r="E142">
            <v>5</v>
          </cell>
          <cell r="F142">
            <v>0</v>
          </cell>
          <cell r="G142">
            <v>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206</v>
          </cell>
          <cell r="B143">
            <v>1</v>
          </cell>
          <cell r="C143">
            <v>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207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208</v>
          </cell>
          <cell r="B145">
            <v>0</v>
          </cell>
          <cell r="C145">
            <v>1</v>
          </cell>
          <cell r="D145">
            <v>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</v>
          </cell>
          <cell r="K145">
            <v>0</v>
          </cell>
        </row>
        <row r="146">
          <cell r="A146">
            <v>209</v>
          </cell>
          <cell r="B146">
            <v>7</v>
          </cell>
          <cell r="C146">
            <v>1</v>
          </cell>
          <cell r="D146">
            <v>1</v>
          </cell>
          <cell r="E146">
            <v>1</v>
          </cell>
          <cell r="F146">
            <v>0</v>
          </cell>
          <cell r="G146">
            <v>2</v>
          </cell>
          <cell r="H146">
            <v>3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210</v>
          </cell>
          <cell r="B147">
            <v>0</v>
          </cell>
          <cell r="C147">
            <v>1</v>
          </cell>
          <cell r="D147">
            <v>0</v>
          </cell>
          <cell r="E147">
            <v>0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211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</v>
          </cell>
        </row>
        <row r="149">
          <cell r="A149">
            <v>212</v>
          </cell>
          <cell r="B149">
            <v>0</v>
          </cell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216</v>
          </cell>
          <cell r="B150">
            <v>1</v>
          </cell>
          <cell r="C150">
            <v>0</v>
          </cell>
          <cell r="D150">
            <v>0</v>
          </cell>
          <cell r="E150">
            <v>1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217</v>
          </cell>
          <cell r="B151">
            <v>3</v>
          </cell>
          <cell r="C151">
            <v>2</v>
          </cell>
          <cell r="D151">
            <v>5</v>
          </cell>
          <cell r="E151">
            <v>1</v>
          </cell>
          <cell r="F151">
            <v>2</v>
          </cell>
          <cell r="G151">
            <v>2</v>
          </cell>
          <cell r="H151">
            <v>1</v>
          </cell>
          <cell r="I151">
            <v>0</v>
          </cell>
          <cell r="J151">
            <v>2</v>
          </cell>
          <cell r="K151">
            <v>0</v>
          </cell>
        </row>
        <row r="152">
          <cell r="A152">
            <v>218</v>
          </cell>
          <cell r="B152">
            <v>0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</v>
          </cell>
          <cell r="H152">
            <v>4</v>
          </cell>
          <cell r="I152">
            <v>0</v>
          </cell>
          <cell r="J152">
            <v>1</v>
          </cell>
          <cell r="K152">
            <v>0</v>
          </cell>
        </row>
        <row r="153">
          <cell r="A153">
            <v>219</v>
          </cell>
          <cell r="B153">
            <v>4</v>
          </cell>
          <cell r="C153">
            <v>0</v>
          </cell>
          <cell r="D153">
            <v>3</v>
          </cell>
          <cell r="E153">
            <v>0</v>
          </cell>
          <cell r="F153">
            <v>0</v>
          </cell>
          <cell r="G153">
            <v>4</v>
          </cell>
          <cell r="H153">
            <v>3</v>
          </cell>
          <cell r="I153">
            <v>0</v>
          </cell>
          <cell r="J153">
            <v>3</v>
          </cell>
          <cell r="K153">
            <v>0</v>
          </cell>
        </row>
        <row r="154">
          <cell r="A154">
            <v>220</v>
          </cell>
          <cell r="B154">
            <v>0</v>
          </cell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223</v>
          </cell>
          <cell r="B155">
            <v>0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224</v>
          </cell>
          <cell r="B156">
            <v>0</v>
          </cell>
          <cell r="C156">
            <v>0</v>
          </cell>
          <cell r="D156">
            <v>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</v>
          </cell>
        </row>
        <row r="157">
          <cell r="A157">
            <v>225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1</v>
          </cell>
          <cell r="K157">
            <v>1</v>
          </cell>
        </row>
        <row r="158">
          <cell r="A158">
            <v>227</v>
          </cell>
          <cell r="B158">
            <v>0</v>
          </cell>
          <cell r="C158">
            <v>0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2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228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229</v>
          </cell>
          <cell r="B160">
            <v>1</v>
          </cell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3</v>
          </cell>
          <cell r="H160">
            <v>0</v>
          </cell>
          <cell r="I160">
            <v>0</v>
          </cell>
          <cell r="J160">
            <v>1</v>
          </cell>
          <cell r="K160">
            <v>1</v>
          </cell>
        </row>
        <row r="161">
          <cell r="A161">
            <v>231</v>
          </cell>
          <cell r="B161">
            <v>1</v>
          </cell>
          <cell r="C161">
            <v>0</v>
          </cell>
          <cell r="D161">
            <v>0</v>
          </cell>
          <cell r="E161">
            <v>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1</v>
          </cell>
        </row>
        <row r="162">
          <cell r="A162">
            <v>233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234</v>
          </cell>
          <cell r="B163">
            <v>1</v>
          </cell>
          <cell r="C163">
            <v>0</v>
          </cell>
          <cell r="D163">
            <v>1</v>
          </cell>
          <cell r="E163">
            <v>1</v>
          </cell>
          <cell r="F163">
            <v>0</v>
          </cell>
          <cell r="G163">
            <v>1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</row>
        <row r="164">
          <cell r="A164">
            <v>236</v>
          </cell>
          <cell r="B164">
            <v>2</v>
          </cell>
          <cell r="C164">
            <v>0</v>
          </cell>
          <cell r="D164">
            <v>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238</v>
          </cell>
          <cell r="B165">
            <v>0</v>
          </cell>
          <cell r="C165">
            <v>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239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240</v>
          </cell>
          <cell r="B167">
            <v>0</v>
          </cell>
          <cell r="C167">
            <v>0</v>
          </cell>
          <cell r="D167">
            <v>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241</v>
          </cell>
          <cell r="B168">
            <v>0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243</v>
          </cell>
          <cell r="B169">
            <v>2</v>
          </cell>
          <cell r="C169">
            <v>2</v>
          </cell>
          <cell r="D169">
            <v>0</v>
          </cell>
          <cell r="E169">
            <v>0</v>
          </cell>
          <cell r="F169">
            <v>0</v>
          </cell>
          <cell r="G169">
            <v>1</v>
          </cell>
          <cell r="H169">
            <v>1</v>
          </cell>
          <cell r="I169">
            <v>0</v>
          </cell>
          <cell r="J169">
            <v>0</v>
          </cell>
          <cell r="K169">
            <v>1</v>
          </cell>
        </row>
        <row r="170">
          <cell r="A170">
            <v>247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248</v>
          </cell>
          <cell r="B171">
            <v>0</v>
          </cell>
          <cell r="C171">
            <v>0</v>
          </cell>
          <cell r="D171">
            <v>0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253</v>
          </cell>
          <cell r="B172">
            <v>2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254</v>
          </cell>
          <cell r="B173">
            <v>0</v>
          </cell>
          <cell r="C173">
            <v>0</v>
          </cell>
          <cell r="D173">
            <v>1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255</v>
          </cell>
          <cell r="B174">
            <v>0</v>
          </cell>
          <cell r="C174">
            <v>0</v>
          </cell>
          <cell r="D174">
            <v>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256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257</v>
          </cell>
          <cell r="B176">
            <v>2</v>
          </cell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258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1</v>
          </cell>
          <cell r="H177">
            <v>3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261</v>
          </cell>
          <cell r="B178">
            <v>0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262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263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1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264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0</v>
          </cell>
          <cell r="K181">
            <v>1</v>
          </cell>
        </row>
        <row r="182">
          <cell r="A182">
            <v>266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269</v>
          </cell>
          <cell r="B183">
            <v>3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3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270</v>
          </cell>
          <cell r="B184">
            <v>0</v>
          </cell>
          <cell r="C184">
            <v>0</v>
          </cell>
          <cell r="D184">
            <v>2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271</v>
          </cell>
          <cell r="B185">
            <v>0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276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277</v>
          </cell>
          <cell r="B187">
            <v>3</v>
          </cell>
          <cell r="C187">
            <v>0</v>
          </cell>
          <cell r="D187">
            <v>0</v>
          </cell>
          <cell r="E187">
            <v>1</v>
          </cell>
          <cell r="F187">
            <v>0</v>
          </cell>
          <cell r="G187">
            <v>2</v>
          </cell>
          <cell r="H187">
            <v>5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278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2</v>
          </cell>
          <cell r="G188">
            <v>1</v>
          </cell>
          <cell r="H188">
            <v>1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279</v>
          </cell>
          <cell r="B189">
            <v>0</v>
          </cell>
          <cell r="C189">
            <v>0</v>
          </cell>
          <cell r="D189">
            <v>0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280</v>
          </cell>
          <cell r="B190">
            <v>2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281</v>
          </cell>
          <cell r="B191">
            <v>0</v>
          </cell>
          <cell r="C191">
            <v>1</v>
          </cell>
          <cell r="D191">
            <v>0</v>
          </cell>
          <cell r="E191">
            <v>0</v>
          </cell>
          <cell r="F191">
            <v>1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1</v>
          </cell>
        </row>
        <row r="192">
          <cell r="A192">
            <v>282</v>
          </cell>
          <cell r="B192">
            <v>0</v>
          </cell>
          <cell r="C192">
            <v>1</v>
          </cell>
          <cell r="D192">
            <v>1</v>
          </cell>
          <cell r="E192">
            <v>1</v>
          </cell>
          <cell r="F192">
            <v>0</v>
          </cell>
          <cell r="G192">
            <v>2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283</v>
          </cell>
          <cell r="B193">
            <v>1</v>
          </cell>
          <cell r="C193">
            <v>0</v>
          </cell>
          <cell r="D193">
            <v>0</v>
          </cell>
          <cell r="E193">
            <v>0</v>
          </cell>
          <cell r="F193">
            <v>1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287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288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1</v>
          </cell>
          <cell r="K195">
            <v>0</v>
          </cell>
        </row>
        <row r="196">
          <cell r="A196">
            <v>289</v>
          </cell>
          <cell r="B196">
            <v>0</v>
          </cell>
          <cell r="C196">
            <v>0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290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3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294</v>
          </cell>
          <cell r="B198">
            <v>2</v>
          </cell>
          <cell r="C198">
            <v>0</v>
          </cell>
          <cell r="D198">
            <v>0</v>
          </cell>
          <cell r="E198">
            <v>2</v>
          </cell>
          <cell r="F198">
            <v>0</v>
          </cell>
          <cell r="G198">
            <v>2</v>
          </cell>
          <cell r="H198">
            <v>4</v>
          </cell>
          <cell r="I198">
            <v>0</v>
          </cell>
          <cell r="J198">
            <v>1</v>
          </cell>
          <cell r="K198">
            <v>0</v>
          </cell>
        </row>
        <row r="199">
          <cell r="A199">
            <v>295</v>
          </cell>
          <cell r="B199">
            <v>1</v>
          </cell>
          <cell r="C199">
            <v>0</v>
          </cell>
          <cell r="D199">
            <v>0</v>
          </cell>
          <cell r="E199">
            <v>2</v>
          </cell>
          <cell r="F199">
            <v>0</v>
          </cell>
          <cell r="G199">
            <v>0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296</v>
          </cell>
          <cell r="B200">
            <v>8</v>
          </cell>
          <cell r="C200">
            <v>0</v>
          </cell>
          <cell r="D200">
            <v>0</v>
          </cell>
          <cell r="E200">
            <v>3</v>
          </cell>
          <cell r="F200">
            <v>0</v>
          </cell>
          <cell r="G200">
            <v>2</v>
          </cell>
          <cell r="H200">
            <v>4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297</v>
          </cell>
          <cell r="B201">
            <v>1</v>
          </cell>
          <cell r="C201">
            <v>1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298</v>
          </cell>
          <cell r="B202">
            <v>0</v>
          </cell>
          <cell r="C202">
            <v>3</v>
          </cell>
          <cell r="D202">
            <v>0</v>
          </cell>
          <cell r="E202">
            <v>16</v>
          </cell>
          <cell r="F202">
            <v>2</v>
          </cell>
          <cell r="G202">
            <v>1</v>
          </cell>
          <cell r="H202">
            <v>1</v>
          </cell>
          <cell r="I202">
            <v>1</v>
          </cell>
          <cell r="J202">
            <v>0</v>
          </cell>
          <cell r="K202">
            <v>0</v>
          </cell>
        </row>
        <row r="203">
          <cell r="A203">
            <v>300</v>
          </cell>
          <cell r="B203">
            <v>2</v>
          </cell>
          <cell r="C203">
            <v>0</v>
          </cell>
          <cell r="D203">
            <v>0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302</v>
          </cell>
          <cell r="B204">
            <v>1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303</v>
          </cell>
          <cell r="B205">
            <v>1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304</v>
          </cell>
          <cell r="B206">
            <v>2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1</v>
          </cell>
          <cell r="H206">
            <v>2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305</v>
          </cell>
          <cell r="B207">
            <v>1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1</v>
          </cell>
          <cell r="H207">
            <v>0</v>
          </cell>
          <cell r="I207">
            <v>1</v>
          </cell>
          <cell r="J207">
            <v>0</v>
          </cell>
          <cell r="K207">
            <v>1</v>
          </cell>
        </row>
        <row r="208">
          <cell r="A208">
            <v>312</v>
          </cell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314</v>
          </cell>
          <cell r="B209">
            <v>0</v>
          </cell>
          <cell r="C209">
            <v>0</v>
          </cell>
          <cell r="D209">
            <v>0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315</v>
          </cell>
          <cell r="B210">
            <v>0</v>
          </cell>
          <cell r="C210">
            <v>0</v>
          </cell>
          <cell r="D210">
            <v>0</v>
          </cell>
          <cell r="E210">
            <v>1</v>
          </cell>
          <cell r="F210">
            <v>0</v>
          </cell>
          <cell r="G210">
            <v>0</v>
          </cell>
          <cell r="H210">
            <v>1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316</v>
          </cell>
          <cell r="B211">
            <v>5</v>
          </cell>
          <cell r="C211">
            <v>0</v>
          </cell>
          <cell r="D211">
            <v>1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</v>
          </cell>
          <cell r="K211">
            <v>0</v>
          </cell>
        </row>
        <row r="212">
          <cell r="A212">
            <v>320</v>
          </cell>
          <cell r="B212">
            <v>6</v>
          </cell>
          <cell r="C212">
            <v>0</v>
          </cell>
          <cell r="D212">
            <v>0</v>
          </cell>
          <cell r="E212">
            <v>3</v>
          </cell>
          <cell r="F212">
            <v>0</v>
          </cell>
          <cell r="G212">
            <v>1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321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1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322</v>
          </cell>
          <cell r="B214">
            <v>0</v>
          </cell>
          <cell r="C214">
            <v>0</v>
          </cell>
          <cell r="D214">
            <v>0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323</v>
          </cell>
          <cell r="B215">
            <v>0</v>
          </cell>
          <cell r="C215">
            <v>1</v>
          </cell>
          <cell r="D215">
            <v>1</v>
          </cell>
          <cell r="E215">
            <v>0</v>
          </cell>
          <cell r="F215">
            <v>0</v>
          </cell>
          <cell r="G215">
            <v>1</v>
          </cell>
          <cell r="H215">
            <v>1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331</v>
          </cell>
          <cell r="B216">
            <v>7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1</v>
          </cell>
          <cell r="K216">
            <v>0</v>
          </cell>
        </row>
        <row r="217">
          <cell r="A217">
            <v>332</v>
          </cell>
          <cell r="B217">
            <v>4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2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333</v>
          </cell>
          <cell r="B218">
            <v>2</v>
          </cell>
          <cell r="C218">
            <v>0</v>
          </cell>
          <cell r="D218">
            <v>0</v>
          </cell>
          <cell r="E218">
            <v>2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337</v>
          </cell>
          <cell r="B219">
            <v>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341</v>
          </cell>
          <cell r="B220">
            <v>0</v>
          </cell>
          <cell r="C220">
            <v>0</v>
          </cell>
          <cell r="D220">
            <v>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343</v>
          </cell>
          <cell r="B221">
            <v>0</v>
          </cell>
          <cell r="C221">
            <v>0</v>
          </cell>
          <cell r="D221">
            <v>0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353</v>
          </cell>
          <cell r="B222">
            <v>0</v>
          </cell>
          <cell r="C222">
            <v>0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1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354</v>
          </cell>
          <cell r="B223">
            <v>1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357</v>
          </cell>
          <cell r="B224">
            <v>1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358</v>
          </cell>
          <cell r="B225">
            <v>0</v>
          </cell>
          <cell r="C225">
            <v>0</v>
          </cell>
          <cell r="D225">
            <v>0</v>
          </cell>
          <cell r="E225">
            <v>1</v>
          </cell>
          <cell r="F225">
            <v>0</v>
          </cell>
          <cell r="G225">
            <v>0</v>
          </cell>
          <cell r="H225">
            <v>2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359</v>
          </cell>
          <cell r="B226">
            <v>1</v>
          </cell>
          <cell r="C226">
            <v>1</v>
          </cell>
          <cell r="D226">
            <v>0</v>
          </cell>
          <cell r="E226">
            <v>1</v>
          </cell>
          <cell r="F226">
            <v>0</v>
          </cell>
          <cell r="G226">
            <v>0</v>
          </cell>
          <cell r="H226">
            <v>6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360</v>
          </cell>
          <cell r="B227">
            <v>1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361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363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364</v>
          </cell>
          <cell r="B230">
            <v>0</v>
          </cell>
          <cell r="C230">
            <v>0</v>
          </cell>
          <cell r="D230">
            <v>0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365</v>
          </cell>
          <cell r="B231">
            <v>1</v>
          </cell>
          <cell r="C231">
            <v>1</v>
          </cell>
          <cell r="D231">
            <v>0</v>
          </cell>
          <cell r="E231">
            <v>0</v>
          </cell>
          <cell r="F231">
            <v>0</v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367</v>
          </cell>
          <cell r="B232">
            <v>0</v>
          </cell>
          <cell r="C232">
            <v>0</v>
          </cell>
          <cell r="D232">
            <v>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368</v>
          </cell>
          <cell r="B233">
            <v>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369</v>
          </cell>
          <cell r="B234">
            <v>0</v>
          </cell>
          <cell r="C234">
            <v>0</v>
          </cell>
          <cell r="D234">
            <v>0</v>
          </cell>
          <cell r="E234">
            <v>1</v>
          </cell>
          <cell r="F234">
            <v>0</v>
          </cell>
          <cell r="G234">
            <v>0</v>
          </cell>
          <cell r="H234">
            <v>1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370</v>
          </cell>
          <cell r="B235">
            <v>0</v>
          </cell>
          <cell r="C235">
            <v>1</v>
          </cell>
          <cell r="D235">
            <v>1</v>
          </cell>
          <cell r="E235">
            <v>8</v>
          </cell>
          <cell r="F235">
            <v>2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1</v>
          </cell>
        </row>
        <row r="236">
          <cell r="A236">
            <v>371</v>
          </cell>
          <cell r="B236">
            <v>0</v>
          </cell>
          <cell r="C236">
            <v>3</v>
          </cell>
          <cell r="D236">
            <v>2</v>
          </cell>
          <cell r="E236">
            <v>14</v>
          </cell>
          <cell r="F236">
            <v>7</v>
          </cell>
          <cell r="G236">
            <v>1</v>
          </cell>
          <cell r="H236">
            <v>1</v>
          </cell>
          <cell r="I236">
            <v>3</v>
          </cell>
          <cell r="J236">
            <v>0</v>
          </cell>
          <cell r="K236">
            <v>1</v>
          </cell>
        </row>
        <row r="237">
          <cell r="A237">
            <v>372</v>
          </cell>
          <cell r="B237">
            <v>0</v>
          </cell>
          <cell r="C237">
            <v>2</v>
          </cell>
          <cell r="D237">
            <v>1</v>
          </cell>
          <cell r="E237">
            <v>17</v>
          </cell>
          <cell r="F237">
            <v>4</v>
          </cell>
          <cell r="G237">
            <v>6</v>
          </cell>
          <cell r="H237">
            <v>0</v>
          </cell>
          <cell r="I237">
            <v>1</v>
          </cell>
          <cell r="J237">
            <v>2</v>
          </cell>
          <cell r="K237">
            <v>1</v>
          </cell>
        </row>
        <row r="238">
          <cell r="A238">
            <v>373</v>
          </cell>
          <cell r="B238">
            <v>1</v>
          </cell>
          <cell r="C238">
            <v>13</v>
          </cell>
          <cell r="D238">
            <v>2</v>
          </cell>
          <cell r="E238">
            <v>90</v>
          </cell>
          <cell r="F238">
            <v>47</v>
          </cell>
          <cell r="G238">
            <v>17</v>
          </cell>
          <cell r="H238">
            <v>2</v>
          </cell>
          <cell r="I238">
            <v>15</v>
          </cell>
          <cell r="J238">
            <v>0</v>
          </cell>
          <cell r="K238">
            <v>5</v>
          </cell>
        </row>
        <row r="239">
          <cell r="A239">
            <v>374</v>
          </cell>
          <cell r="B239">
            <v>0</v>
          </cell>
          <cell r="C239">
            <v>0</v>
          </cell>
          <cell r="D239">
            <v>2</v>
          </cell>
          <cell r="E239">
            <v>11</v>
          </cell>
          <cell r="F239">
            <v>5</v>
          </cell>
          <cell r="G239">
            <v>1</v>
          </cell>
          <cell r="H239">
            <v>0</v>
          </cell>
          <cell r="I239">
            <v>1</v>
          </cell>
          <cell r="J239">
            <v>0</v>
          </cell>
          <cell r="K239">
            <v>2</v>
          </cell>
        </row>
        <row r="240">
          <cell r="A240">
            <v>376</v>
          </cell>
          <cell r="B240">
            <v>0</v>
          </cell>
          <cell r="C240">
            <v>0</v>
          </cell>
          <cell r="D240">
            <v>1</v>
          </cell>
          <cell r="E240">
            <v>1</v>
          </cell>
          <cell r="F240">
            <v>3</v>
          </cell>
          <cell r="G240">
            <v>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377</v>
          </cell>
          <cell r="B241">
            <v>0</v>
          </cell>
          <cell r="C241">
            <v>0</v>
          </cell>
          <cell r="D241">
            <v>1</v>
          </cell>
          <cell r="E241">
            <v>0</v>
          </cell>
          <cell r="F241">
            <v>1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378</v>
          </cell>
          <cell r="B242">
            <v>0</v>
          </cell>
          <cell r="C242">
            <v>1</v>
          </cell>
          <cell r="D242">
            <v>0</v>
          </cell>
          <cell r="E242">
            <v>0</v>
          </cell>
          <cell r="F242">
            <v>0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379</v>
          </cell>
          <cell r="B243">
            <v>0</v>
          </cell>
          <cell r="C243">
            <v>1</v>
          </cell>
          <cell r="D243">
            <v>1</v>
          </cell>
          <cell r="E243">
            <v>9</v>
          </cell>
          <cell r="F243">
            <v>1</v>
          </cell>
          <cell r="G243">
            <v>0</v>
          </cell>
          <cell r="H243">
            <v>0</v>
          </cell>
          <cell r="I243">
            <v>2</v>
          </cell>
          <cell r="J243">
            <v>0</v>
          </cell>
          <cell r="K243">
            <v>0</v>
          </cell>
        </row>
        <row r="244">
          <cell r="A244">
            <v>380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381</v>
          </cell>
          <cell r="B245">
            <v>0</v>
          </cell>
          <cell r="C245">
            <v>0</v>
          </cell>
          <cell r="D245">
            <v>0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383</v>
          </cell>
          <cell r="B246">
            <v>0</v>
          </cell>
          <cell r="C246">
            <v>1</v>
          </cell>
          <cell r="D246">
            <v>0</v>
          </cell>
          <cell r="E246">
            <v>10</v>
          </cell>
          <cell r="F246">
            <v>4</v>
          </cell>
          <cell r="G246">
            <v>3</v>
          </cell>
          <cell r="H246">
            <v>0</v>
          </cell>
          <cell r="I246">
            <v>0</v>
          </cell>
          <cell r="J246">
            <v>1</v>
          </cell>
          <cell r="K246">
            <v>0</v>
          </cell>
        </row>
        <row r="247">
          <cell r="A247">
            <v>384</v>
          </cell>
          <cell r="B247">
            <v>0</v>
          </cell>
          <cell r="C247">
            <v>3</v>
          </cell>
          <cell r="D247">
            <v>0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1</v>
          </cell>
          <cell r="J247">
            <v>0</v>
          </cell>
          <cell r="K247">
            <v>0</v>
          </cell>
        </row>
        <row r="248">
          <cell r="A248">
            <v>385</v>
          </cell>
          <cell r="B248">
            <v>0</v>
          </cell>
          <cell r="C248">
            <v>1</v>
          </cell>
          <cell r="D248">
            <v>1</v>
          </cell>
          <cell r="E248">
            <v>17</v>
          </cell>
          <cell r="F248">
            <v>5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</v>
          </cell>
        </row>
        <row r="249">
          <cell r="A249">
            <v>386</v>
          </cell>
          <cell r="B249">
            <v>0</v>
          </cell>
          <cell r="C249">
            <v>0</v>
          </cell>
          <cell r="D249">
            <v>1</v>
          </cell>
          <cell r="E249">
            <v>0</v>
          </cell>
          <cell r="F249">
            <v>3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387</v>
          </cell>
          <cell r="B250">
            <v>0</v>
          </cell>
          <cell r="C250">
            <v>0</v>
          </cell>
          <cell r="D250">
            <v>1</v>
          </cell>
          <cell r="E250">
            <v>11</v>
          </cell>
          <cell r="F250">
            <v>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</v>
          </cell>
        </row>
        <row r="251">
          <cell r="A251">
            <v>388</v>
          </cell>
          <cell r="B251">
            <v>0</v>
          </cell>
          <cell r="C251">
            <v>0</v>
          </cell>
          <cell r="D251">
            <v>1</v>
          </cell>
          <cell r="E251">
            <v>6</v>
          </cell>
          <cell r="F251">
            <v>2</v>
          </cell>
          <cell r="G251">
            <v>1</v>
          </cell>
          <cell r="H251">
            <v>0</v>
          </cell>
          <cell r="I251">
            <v>1</v>
          </cell>
          <cell r="J251">
            <v>0</v>
          </cell>
          <cell r="K251">
            <v>0</v>
          </cell>
        </row>
        <row r="252">
          <cell r="A252">
            <v>389</v>
          </cell>
          <cell r="B252">
            <v>0</v>
          </cell>
          <cell r="C252">
            <v>4</v>
          </cell>
          <cell r="D252">
            <v>1</v>
          </cell>
          <cell r="E252">
            <v>9</v>
          </cell>
          <cell r="F252">
            <v>12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390</v>
          </cell>
          <cell r="B253">
            <v>0</v>
          </cell>
          <cell r="C253">
            <v>1</v>
          </cell>
          <cell r="D253">
            <v>1</v>
          </cell>
          <cell r="E253">
            <v>6</v>
          </cell>
          <cell r="F253">
            <v>11</v>
          </cell>
          <cell r="G253">
            <v>0</v>
          </cell>
          <cell r="H253">
            <v>0</v>
          </cell>
          <cell r="I253">
            <v>7</v>
          </cell>
          <cell r="J253">
            <v>0</v>
          </cell>
          <cell r="K253">
            <v>1</v>
          </cell>
        </row>
        <row r="254">
          <cell r="A254">
            <v>395</v>
          </cell>
          <cell r="B254">
            <v>1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2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396</v>
          </cell>
          <cell r="B255">
            <v>0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397</v>
          </cell>
          <cell r="B256">
            <v>0</v>
          </cell>
          <cell r="C256">
            <v>1</v>
          </cell>
          <cell r="D256">
            <v>0</v>
          </cell>
          <cell r="E256">
            <v>2</v>
          </cell>
          <cell r="F256">
            <v>0</v>
          </cell>
          <cell r="G256">
            <v>0</v>
          </cell>
          <cell r="H256">
            <v>1</v>
          </cell>
          <cell r="I256">
            <v>1</v>
          </cell>
          <cell r="J256">
            <v>0</v>
          </cell>
          <cell r="K256">
            <v>0</v>
          </cell>
        </row>
        <row r="257">
          <cell r="A257">
            <v>398</v>
          </cell>
          <cell r="B257">
            <v>1</v>
          </cell>
          <cell r="C257">
            <v>1</v>
          </cell>
          <cell r="D257">
            <v>2</v>
          </cell>
          <cell r="E257">
            <v>3</v>
          </cell>
          <cell r="F257">
            <v>0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399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403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405</v>
          </cell>
          <cell r="B260">
            <v>0</v>
          </cell>
          <cell r="C260">
            <v>1</v>
          </cell>
          <cell r="D260">
            <v>0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409</v>
          </cell>
          <cell r="B261">
            <v>0</v>
          </cell>
          <cell r="C261">
            <v>0</v>
          </cell>
          <cell r="D261">
            <v>0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410</v>
          </cell>
          <cell r="B262">
            <v>5</v>
          </cell>
          <cell r="C262">
            <v>0</v>
          </cell>
          <cell r="D262">
            <v>3</v>
          </cell>
          <cell r="E262">
            <v>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415</v>
          </cell>
          <cell r="B263">
            <v>1</v>
          </cell>
          <cell r="C263">
            <v>0</v>
          </cell>
          <cell r="D263">
            <v>1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416</v>
          </cell>
          <cell r="B264">
            <v>2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1</v>
          </cell>
          <cell r="K264">
            <v>0</v>
          </cell>
        </row>
        <row r="265">
          <cell r="A265">
            <v>417</v>
          </cell>
          <cell r="B265">
            <v>0</v>
          </cell>
          <cell r="C265">
            <v>0</v>
          </cell>
          <cell r="D265">
            <v>0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</row>
        <row r="266">
          <cell r="A266">
            <v>418</v>
          </cell>
          <cell r="B266">
            <v>2</v>
          </cell>
          <cell r="C266">
            <v>2</v>
          </cell>
          <cell r="D266">
            <v>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</v>
          </cell>
          <cell r="K266">
            <v>0</v>
          </cell>
        </row>
        <row r="267">
          <cell r="A267">
            <v>419</v>
          </cell>
          <cell r="B267">
            <v>1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421</v>
          </cell>
          <cell r="B268">
            <v>1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1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</v>
          </cell>
          <cell r="B269">
            <v>0</v>
          </cell>
          <cell r="C269">
            <v>0</v>
          </cell>
          <cell r="D269">
            <v>0</v>
          </cell>
          <cell r="E269">
            <v>7</v>
          </cell>
          <cell r="F269">
            <v>1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423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1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425</v>
          </cell>
          <cell r="B271">
            <v>1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1</v>
          </cell>
          <cell r="H271">
            <v>1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428</v>
          </cell>
          <cell r="B272">
            <v>0</v>
          </cell>
          <cell r="C272">
            <v>0</v>
          </cell>
          <cell r="D272">
            <v>0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429</v>
          </cell>
          <cell r="B273">
            <v>2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1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440</v>
          </cell>
          <cell r="B275">
            <v>1</v>
          </cell>
          <cell r="C275">
            <v>0</v>
          </cell>
          <cell r="D275">
            <v>0</v>
          </cell>
          <cell r="E275">
            <v>2</v>
          </cell>
          <cell r="F275">
            <v>0</v>
          </cell>
          <cell r="G275">
            <v>1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441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</v>
          </cell>
          <cell r="K276">
            <v>0</v>
          </cell>
        </row>
        <row r="277">
          <cell r="A277">
            <v>444</v>
          </cell>
          <cell r="B277">
            <v>0</v>
          </cell>
          <cell r="C277">
            <v>1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445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447</v>
          </cell>
          <cell r="B279">
            <v>0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449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4</v>
          </cell>
          <cell r="H280">
            <v>0</v>
          </cell>
          <cell r="I280">
            <v>1</v>
          </cell>
          <cell r="J280">
            <v>0</v>
          </cell>
          <cell r="K280">
            <v>1</v>
          </cell>
        </row>
        <row r="281">
          <cell r="A281">
            <v>450</v>
          </cell>
          <cell r="B281">
            <v>0</v>
          </cell>
          <cell r="C281">
            <v>0</v>
          </cell>
          <cell r="D281">
            <v>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451</v>
          </cell>
          <cell r="B282">
            <v>0</v>
          </cell>
          <cell r="C282">
            <v>1</v>
          </cell>
          <cell r="D282">
            <v>0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</v>
          </cell>
          <cell r="K282">
            <v>0</v>
          </cell>
        </row>
        <row r="283">
          <cell r="A283">
            <v>452</v>
          </cell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453</v>
          </cell>
          <cell r="B284">
            <v>1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461</v>
          </cell>
          <cell r="B285">
            <v>0</v>
          </cell>
          <cell r="C285">
            <v>0</v>
          </cell>
          <cell r="D285">
            <v>0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463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1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467</v>
          </cell>
          <cell r="B287">
            <v>0</v>
          </cell>
          <cell r="C287">
            <v>0</v>
          </cell>
          <cell r="D287">
            <v>0</v>
          </cell>
          <cell r="E287">
            <v>1</v>
          </cell>
          <cell r="F287">
            <v>0</v>
          </cell>
          <cell r="G287">
            <v>0</v>
          </cell>
          <cell r="H287">
            <v>1</v>
          </cell>
          <cell r="I287">
            <v>0</v>
          </cell>
          <cell r="J287">
            <v>0</v>
          </cell>
          <cell r="K287">
            <v>17</v>
          </cell>
        </row>
        <row r="288">
          <cell r="A288">
            <v>468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  <cell r="F288">
            <v>0</v>
          </cell>
          <cell r="G288">
            <v>2</v>
          </cell>
          <cell r="H288">
            <v>1</v>
          </cell>
          <cell r="I288">
            <v>0</v>
          </cell>
          <cell r="J288">
            <v>1</v>
          </cell>
          <cell r="K288">
            <v>0</v>
          </cell>
        </row>
        <row r="289">
          <cell r="A289">
            <v>473</v>
          </cell>
          <cell r="B289">
            <v>0</v>
          </cell>
          <cell r="C289">
            <v>2</v>
          </cell>
          <cell r="D289">
            <v>1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475</v>
          </cell>
          <cell r="B290">
            <v>2</v>
          </cell>
          <cell r="C290">
            <v>2</v>
          </cell>
          <cell r="D290">
            <v>2</v>
          </cell>
          <cell r="E290">
            <v>3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1</v>
          </cell>
        </row>
        <row r="291">
          <cell r="A291">
            <v>476</v>
          </cell>
          <cell r="B291">
            <v>0</v>
          </cell>
          <cell r="C291">
            <v>0</v>
          </cell>
          <cell r="D291">
            <v>0</v>
          </cell>
          <cell r="E291">
            <v>1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477</v>
          </cell>
          <cell r="B292">
            <v>0</v>
          </cell>
          <cell r="C292">
            <v>0</v>
          </cell>
          <cell r="D292">
            <v>2</v>
          </cell>
          <cell r="E292">
            <v>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478</v>
          </cell>
          <cell r="B293">
            <v>1</v>
          </cell>
          <cell r="C293">
            <v>0</v>
          </cell>
          <cell r="D293">
            <v>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</v>
          </cell>
          <cell r="K293">
            <v>0</v>
          </cell>
        </row>
        <row r="294">
          <cell r="A294">
            <v>479</v>
          </cell>
          <cell r="B294">
            <v>0</v>
          </cell>
          <cell r="C294">
            <v>0</v>
          </cell>
          <cell r="D294">
            <v>0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482</v>
          </cell>
          <cell r="B295">
            <v>0</v>
          </cell>
          <cell r="C295">
            <v>0</v>
          </cell>
          <cell r="D295">
            <v>1</v>
          </cell>
          <cell r="E295">
            <v>0</v>
          </cell>
          <cell r="F295">
            <v>1</v>
          </cell>
          <cell r="G295">
            <v>0</v>
          </cell>
          <cell r="H295">
            <v>1</v>
          </cell>
          <cell r="I295">
            <v>0</v>
          </cell>
          <cell r="J295">
            <v>0</v>
          </cell>
          <cell r="K295">
            <v>1</v>
          </cell>
        </row>
        <row r="296">
          <cell r="A296">
            <v>483</v>
          </cell>
          <cell r="B296">
            <v>4</v>
          </cell>
          <cell r="C296">
            <v>2</v>
          </cell>
          <cell r="D296">
            <v>2</v>
          </cell>
          <cell r="E296">
            <v>3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</v>
          </cell>
        </row>
        <row r="297">
          <cell r="A297">
            <v>484</v>
          </cell>
          <cell r="B297">
            <v>0</v>
          </cell>
          <cell r="C297">
            <v>0</v>
          </cell>
          <cell r="D297">
            <v>0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485</v>
          </cell>
          <cell r="B298">
            <v>1</v>
          </cell>
          <cell r="C298">
            <v>0</v>
          </cell>
          <cell r="D298">
            <v>1</v>
          </cell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486</v>
          </cell>
          <cell r="B299">
            <v>1</v>
          </cell>
          <cell r="C299">
            <v>2</v>
          </cell>
          <cell r="D299">
            <v>3</v>
          </cell>
          <cell r="E299">
            <v>1</v>
          </cell>
          <cell r="F299">
            <v>2</v>
          </cell>
          <cell r="G299">
            <v>2</v>
          </cell>
          <cell r="H299">
            <v>3</v>
          </cell>
          <cell r="I299">
            <v>0</v>
          </cell>
          <cell r="J299">
            <v>0</v>
          </cell>
          <cell r="K299">
            <v>1</v>
          </cell>
        </row>
        <row r="300">
          <cell r="A300">
            <v>487</v>
          </cell>
          <cell r="B300">
            <v>1</v>
          </cell>
          <cell r="C300">
            <v>0</v>
          </cell>
          <cell r="D300">
            <v>2</v>
          </cell>
          <cell r="E300">
            <v>0</v>
          </cell>
          <cell r="F300">
            <v>0</v>
          </cell>
          <cell r="G300">
            <v>2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489</v>
          </cell>
          <cell r="B301">
            <v>1</v>
          </cell>
          <cell r="C301">
            <v>0</v>
          </cell>
          <cell r="D301">
            <v>0</v>
          </cell>
          <cell r="E301">
            <v>1</v>
          </cell>
          <cell r="F301">
            <v>0</v>
          </cell>
          <cell r="G301">
            <v>0</v>
          </cell>
          <cell r="H301">
            <v>2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490</v>
          </cell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492</v>
          </cell>
          <cell r="B303">
            <v>1</v>
          </cell>
          <cell r="C303">
            <v>3</v>
          </cell>
          <cell r="D303">
            <v>1</v>
          </cell>
          <cell r="E303">
            <v>9</v>
          </cell>
          <cell r="F303">
            <v>0</v>
          </cell>
          <cell r="G303">
            <v>0</v>
          </cell>
          <cell r="H303">
            <v>0</v>
          </cell>
          <cell r="I303">
            <v>2</v>
          </cell>
          <cell r="J303">
            <v>0</v>
          </cell>
          <cell r="K303">
            <v>1</v>
          </cell>
        </row>
        <row r="304">
          <cell r="A304">
            <v>493</v>
          </cell>
          <cell r="B304">
            <v>0</v>
          </cell>
          <cell r="C304">
            <v>1</v>
          </cell>
          <cell r="D304">
            <v>2</v>
          </cell>
          <cell r="E304">
            <v>2</v>
          </cell>
          <cell r="F304">
            <v>0</v>
          </cell>
          <cell r="G304">
            <v>0</v>
          </cell>
          <cell r="H304">
            <v>1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494</v>
          </cell>
          <cell r="B305">
            <v>0</v>
          </cell>
          <cell r="C305">
            <v>0</v>
          </cell>
          <cell r="D305">
            <v>2</v>
          </cell>
          <cell r="E305">
            <v>0</v>
          </cell>
          <cell r="F305">
            <v>0</v>
          </cell>
          <cell r="G305">
            <v>1</v>
          </cell>
          <cell r="H305">
            <v>4</v>
          </cell>
          <cell r="I305">
            <v>1</v>
          </cell>
          <cell r="J305">
            <v>1</v>
          </cell>
          <cell r="K305">
            <v>1</v>
          </cell>
        </row>
        <row r="306">
          <cell r="A306">
            <v>497</v>
          </cell>
          <cell r="B306">
            <v>1</v>
          </cell>
          <cell r="C306">
            <v>1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498</v>
          </cell>
          <cell r="B307">
            <v>1</v>
          </cell>
          <cell r="C307">
            <v>0</v>
          </cell>
          <cell r="D307">
            <v>1</v>
          </cell>
          <cell r="E307">
            <v>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500</v>
          </cell>
          <cell r="B308">
            <v>1</v>
          </cell>
          <cell r="C308">
            <v>0</v>
          </cell>
          <cell r="D308">
            <v>0</v>
          </cell>
          <cell r="E308">
            <v>1</v>
          </cell>
          <cell r="F308">
            <v>0</v>
          </cell>
          <cell r="G308">
            <v>1</v>
          </cell>
          <cell r="H308">
            <v>1</v>
          </cell>
          <cell r="I308">
            <v>0</v>
          </cell>
          <cell r="J308">
            <v>0</v>
          </cell>
          <cell r="K308">
            <v>1</v>
          </cell>
        </row>
        <row r="309">
          <cell r="A309">
            <v>503</v>
          </cell>
          <cell r="B309">
            <v>1</v>
          </cell>
          <cell r="C309">
            <v>1</v>
          </cell>
          <cell r="D309">
            <v>3</v>
          </cell>
          <cell r="E309">
            <v>1</v>
          </cell>
          <cell r="F309">
            <v>0</v>
          </cell>
          <cell r="G309">
            <v>2</v>
          </cell>
          <cell r="H309">
            <v>3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506</v>
          </cell>
          <cell r="B310">
            <v>0</v>
          </cell>
          <cell r="C310">
            <v>1</v>
          </cell>
          <cell r="D310">
            <v>0</v>
          </cell>
          <cell r="E310">
            <v>2</v>
          </cell>
          <cell r="F310">
            <v>0</v>
          </cell>
          <cell r="G310">
            <v>0</v>
          </cell>
          <cell r="H310">
            <v>2</v>
          </cell>
          <cell r="I310">
            <v>0</v>
          </cell>
          <cell r="J310">
            <v>0</v>
          </cell>
          <cell r="K310">
            <v>1</v>
          </cell>
        </row>
        <row r="311">
          <cell r="A311">
            <v>507</v>
          </cell>
          <cell r="B311">
            <v>0</v>
          </cell>
          <cell r="C311">
            <v>1</v>
          </cell>
          <cell r="D311">
            <v>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</v>
          </cell>
        </row>
        <row r="312">
          <cell r="A312">
            <v>511</v>
          </cell>
          <cell r="B312">
            <v>1</v>
          </cell>
          <cell r="C312">
            <v>0</v>
          </cell>
          <cell r="D312">
            <v>0</v>
          </cell>
          <cell r="E312">
            <v>0</v>
          </cell>
          <cell r="F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1</v>
          </cell>
          <cell r="K312">
            <v>1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e"/>
      <sheetName val="discharges"/>
      <sheetName val="adm_trnsf"/>
      <sheetName val="other_input"/>
      <sheetName val="ROSS_BOARDSTAT"/>
      <sheetName val="Ross_STATS"/>
      <sheetName val="input_rev3_sort"/>
      <sheetName val="GLkeyMapping"/>
      <sheetName val="SUMMARY"/>
      <sheetName val="stats"/>
      <sheetName val="statss"/>
      <sheetName val="statss2"/>
      <sheetName val="statss3"/>
      <sheetName val="statss1 Lab-Rad-Ancill"/>
      <sheetName val="ytdclinic"/>
      <sheetName val="APD"/>
      <sheetName val="ASAP"/>
      <sheetName val="CPC"/>
      <sheetName val="UPC"/>
      <sheetName val="CTH Board"/>
      <sheetName val="bedcount"/>
      <sheetName val="statss_FY2008"/>
      <sheetName val="statss2_FY2008"/>
      <sheetName val="statss3_FY2008"/>
      <sheetName val="statss1 Lab-Rad-Ancill_FY2008"/>
      <sheetName val="budget"/>
      <sheetName val="budget_ASAP"/>
      <sheetName val="budget_CPC"/>
      <sheetName val="budget_UPC"/>
      <sheetName val="budget_disch"/>
      <sheetName val="budget_OR"/>
      <sheetName val="ISROLL_Bud UH_June09 091008v2"/>
      <sheetName val="BUDHRS_Roll UH_as of 10092008"/>
      <sheetName val="budget_CPCdischarge"/>
      <sheetName val="budget_UPCdischarge"/>
    </sheetNames>
    <sheetDataSet>
      <sheetData sheetId="0">
        <row r="4">
          <cell r="B4">
            <v>2009</v>
          </cell>
        </row>
        <row r="7">
          <cell r="B7" t="str">
            <v>1/31/2009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S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99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6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E75" sqref="E75"/>
    </sheetView>
  </sheetViews>
  <sheetFormatPr defaultColWidth="8.7109375" defaultRowHeight="12.75" outlineLevelCol="1" x14ac:dyDescent="0.2"/>
  <cols>
    <col min="1" max="1" width="15.7109375" style="2" customWidth="1"/>
    <col min="2" max="2" width="51.42578125" style="2" customWidth="1"/>
    <col min="3" max="3" width="48.5703125" style="426" hidden="1" customWidth="1" outlineLevel="1"/>
    <col min="4" max="4" width="48.5703125" style="2" bestFit="1" customWidth="1" collapsed="1"/>
    <col min="5" max="5" width="26.28515625" style="789" bestFit="1" customWidth="1"/>
    <col min="6" max="6" width="45.85546875" style="332" customWidth="1"/>
    <col min="7" max="16384" width="8.7109375" style="2"/>
  </cols>
  <sheetData>
    <row r="1" spans="1:6" x14ac:dyDescent="0.2">
      <c r="A1" s="97"/>
      <c r="B1" s="97"/>
      <c r="D1" s="97"/>
      <c r="E1" s="787"/>
      <c r="F1" s="436"/>
    </row>
    <row r="2" spans="1:6" x14ac:dyDescent="0.2">
      <c r="A2" s="97"/>
      <c r="B2" s="97"/>
      <c r="D2" s="97"/>
      <c r="E2" s="787"/>
      <c r="F2" s="436"/>
    </row>
    <row r="3" spans="1:6" x14ac:dyDescent="0.2">
      <c r="A3" s="97"/>
      <c r="B3" s="97"/>
      <c r="D3" s="97"/>
      <c r="E3" s="787"/>
      <c r="F3" s="436"/>
    </row>
    <row r="4" spans="1:6" ht="15" x14ac:dyDescent="0.25">
      <c r="A4" s="98"/>
      <c r="B4" s="99"/>
      <c r="C4" s="427"/>
      <c r="D4" s="99"/>
      <c r="E4" s="798"/>
      <c r="F4" s="437"/>
    </row>
    <row r="5" spans="1:6" ht="15" x14ac:dyDescent="0.25">
      <c r="A5" s="98" t="s">
        <v>515</v>
      </c>
      <c r="B5" s="99"/>
      <c r="C5" s="427"/>
      <c r="D5" s="99"/>
      <c r="E5" s="798"/>
      <c r="F5" s="437"/>
    </row>
    <row r="6" spans="1:6" ht="15.75" thickBot="1" x14ac:dyDescent="0.3">
      <c r="A6" s="98" t="s">
        <v>560</v>
      </c>
      <c r="B6" s="99"/>
      <c r="C6" s="427"/>
      <c r="D6" s="99"/>
      <c r="E6" s="798"/>
      <c r="F6" s="437"/>
    </row>
    <row r="7" spans="1:6" ht="15.75" thickBot="1" x14ac:dyDescent="0.3">
      <c r="A7" s="7" t="s">
        <v>0</v>
      </c>
      <c r="B7" s="8" t="s">
        <v>5</v>
      </c>
      <c r="C7" s="428" t="s">
        <v>315</v>
      </c>
      <c r="D7" s="8" t="s">
        <v>561</v>
      </c>
      <c r="E7" s="791" t="s">
        <v>28</v>
      </c>
      <c r="F7" s="8" t="s">
        <v>29</v>
      </c>
    </row>
    <row r="8" spans="1:6" ht="14.45" customHeight="1" x14ac:dyDescent="0.25">
      <c r="A8" s="840" t="s">
        <v>10</v>
      </c>
      <c r="B8" s="837" t="s">
        <v>11</v>
      </c>
      <c r="C8" s="846" t="s">
        <v>495</v>
      </c>
      <c r="D8" s="837" t="s">
        <v>495</v>
      </c>
      <c r="E8" s="845" t="s">
        <v>562</v>
      </c>
      <c r="F8" s="438" t="s">
        <v>563</v>
      </c>
    </row>
    <row r="9" spans="1:6" ht="15" x14ac:dyDescent="0.2">
      <c r="A9" s="841"/>
      <c r="B9" s="835"/>
      <c r="C9" s="847"/>
      <c r="D9" s="835"/>
      <c r="E9" s="839"/>
      <c r="F9" s="439" t="s">
        <v>627</v>
      </c>
    </row>
    <row r="10" spans="1:6" ht="15" x14ac:dyDescent="0.25">
      <c r="A10" s="841"/>
      <c r="B10" s="835"/>
      <c r="C10" s="847"/>
      <c r="D10" s="835"/>
      <c r="E10" s="839"/>
      <c r="F10" s="438" t="s">
        <v>564</v>
      </c>
    </row>
    <row r="11" spans="1:6" ht="15" x14ac:dyDescent="0.25">
      <c r="A11" s="841"/>
      <c r="B11" s="835"/>
      <c r="C11" s="847"/>
      <c r="D11" s="835"/>
      <c r="E11" s="839"/>
      <c r="F11" s="438" t="s">
        <v>565</v>
      </c>
    </row>
    <row r="12" spans="1:6" ht="15" x14ac:dyDescent="0.25">
      <c r="A12" s="841"/>
      <c r="B12" s="835"/>
      <c r="C12" s="847"/>
      <c r="D12" s="835"/>
      <c r="E12" s="839"/>
      <c r="F12" s="438" t="s">
        <v>566</v>
      </c>
    </row>
    <row r="13" spans="1:6" ht="15" x14ac:dyDescent="0.25">
      <c r="A13" s="841" t="s">
        <v>10</v>
      </c>
      <c r="B13" s="835" t="s">
        <v>13</v>
      </c>
      <c r="C13" s="429" t="s">
        <v>24</v>
      </c>
      <c r="D13" s="491" t="s">
        <v>1351</v>
      </c>
      <c r="E13" s="822" t="s">
        <v>25</v>
      </c>
      <c r="F13" s="440"/>
    </row>
    <row r="14" spans="1:6" ht="15" x14ac:dyDescent="0.25">
      <c r="A14" s="841"/>
      <c r="B14" s="835"/>
      <c r="C14" s="847" t="s">
        <v>502</v>
      </c>
      <c r="D14" s="835" t="s">
        <v>1245</v>
      </c>
      <c r="E14" s="839" t="s">
        <v>622</v>
      </c>
      <c r="F14" s="438" t="s">
        <v>567</v>
      </c>
    </row>
    <row r="15" spans="1:6" ht="15" x14ac:dyDescent="0.25">
      <c r="A15" s="841"/>
      <c r="B15" s="835"/>
      <c r="C15" s="847"/>
      <c r="D15" s="835"/>
      <c r="E15" s="839"/>
      <c r="F15" s="438" t="s">
        <v>568</v>
      </c>
    </row>
    <row r="16" spans="1:6" ht="15" x14ac:dyDescent="0.25">
      <c r="A16" s="841"/>
      <c r="B16" s="835"/>
      <c r="C16" s="847"/>
      <c r="D16" s="835"/>
      <c r="E16" s="839"/>
      <c r="F16" s="117" t="s">
        <v>569</v>
      </c>
    </row>
    <row r="17" spans="1:6" ht="15" x14ac:dyDescent="0.25">
      <c r="A17" s="841"/>
      <c r="B17" s="835"/>
      <c r="C17" s="847"/>
      <c r="D17" s="835"/>
      <c r="E17" s="839"/>
      <c r="F17" s="117" t="s">
        <v>570</v>
      </c>
    </row>
    <row r="18" spans="1:6" ht="15" x14ac:dyDescent="0.25">
      <c r="A18" s="841"/>
      <c r="B18" s="835"/>
      <c r="C18" s="847"/>
      <c r="D18" s="835"/>
      <c r="E18" s="839"/>
      <c r="F18" s="117" t="s">
        <v>571</v>
      </c>
    </row>
    <row r="19" spans="1:6" ht="15" x14ac:dyDescent="0.25">
      <c r="A19" s="841"/>
      <c r="B19" s="835"/>
      <c r="C19" s="847"/>
      <c r="D19" s="835"/>
      <c r="E19" s="839"/>
      <c r="F19" s="438" t="s">
        <v>572</v>
      </c>
    </row>
    <row r="20" spans="1:6" ht="15" x14ac:dyDescent="0.25">
      <c r="A20" s="841" t="s">
        <v>10</v>
      </c>
      <c r="B20" s="835" t="s">
        <v>6</v>
      </c>
      <c r="C20" s="843" t="s">
        <v>498</v>
      </c>
      <c r="D20" s="841" t="s">
        <v>1239</v>
      </c>
      <c r="E20" s="839" t="s">
        <v>1240</v>
      </c>
      <c r="F20" s="438" t="s">
        <v>573</v>
      </c>
    </row>
    <row r="21" spans="1:6" ht="15" x14ac:dyDescent="0.25">
      <c r="A21" s="841"/>
      <c r="B21" s="835"/>
      <c r="C21" s="843"/>
      <c r="D21" s="841"/>
      <c r="E21" s="839"/>
      <c r="F21" s="438" t="s">
        <v>574</v>
      </c>
    </row>
    <row r="22" spans="1:6" ht="15" x14ac:dyDescent="0.25">
      <c r="A22" s="841"/>
      <c r="B22" s="835"/>
      <c r="C22" s="843"/>
      <c r="D22" s="841"/>
      <c r="E22" s="839"/>
      <c r="F22" s="438" t="s">
        <v>575</v>
      </c>
    </row>
    <row r="23" spans="1:6" ht="15" x14ac:dyDescent="0.25">
      <c r="A23" s="841"/>
      <c r="B23" s="835"/>
      <c r="C23" s="843"/>
      <c r="D23" s="841"/>
      <c r="E23" s="839"/>
      <c r="F23" s="438" t="s">
        <v>576</v>
      </c>
    </row>
    <row r="24" spans="1:6" ht="15" x14ac:dyDescent="0.25">
      <c r="A24" s="841" t="s">
        <v>10</v>
      </c>
      <c r="B24" s="835" t="s">
        <v>15</v>
      </c>
      <c r="C24" s="435"/>
      <c r="D24" s="835" t="s">
        <v>503</v>
      </c>
      <c r="E24" s="839" t="s">
        <v>20</v>
      </c>
      <c r="F24" s="438" t="s">
        <v>577</v>
      </c>
    </row>
    <row r="25" spans="1:6" ht="15" x14ac:dyDescent="0.25">
      <c r="A25" s="841"/>
      <c r="B25" s="835"/>
      <c r="C25" s="435"/>
      <c r="D25" s="835"/>
      <c r="E25" s="839"/>
      <c r="F25" s="438" t="s">
        <v>578</v>
      </c>
    </row>
    <row r="26" spans="1:6" ht="15.75" thickBot="1" x14ac:dyDescent="0.3">
      <c r="A26" s="844"/>
      <c r="B26" s="838"/>
      <c r="C26" s="430" t="s">
        <v>503</v>
      </c>
      <c r="D26" s="838"/>
      <c r="E26" s="842"/>
      <c r="F26" s="441" t="s">
        <v>579</v>
      </c>
    </row>
    <row r="27" spans="1:6" ht="15" x14ac:dyDescent="0.2">
      <c r="A27" s="840" t="s">
        <v>7</v>
      </c>
      <c r="B27" s="837" t="s">
        <v>26</v>
      </c>
      <c r="C27" s="429" t="s">
        <v>531</v>
      </c>
      <c r="D27" s="837" t="s">
        <v>1267</v>
      </c>
      <c r="E27" s="821" t="s">
        <v>21</v>
      </c>
      <c r="F27" s="454" t="s">
        <v>1246</v>
      </c>
    </row>
    <row r="28" spans="1:6" ht="15" x14ac:dyDescent="0.25">
      <c r="A28" s="841"/>
      <c r="B28" s="835"/>
      <c r="C28" s="429" t="s">
        <v>284</v>
      </c>
      <c r="D28" s="835"/>
      <c r="E28" s="796" t="s">
        <v>156</v>
      </c>
      <c r="F28" s="438" t="s">
        <v>1248</v>
      </c>
    </row>
    <row r="29" spans="1:6" ht="30" x14ac:dyDescent="0.2">
      <c r="A29" s="841"/>
      <c r="B29" s="835"/>
      <c r="C29" s="429" t="s">
        <v>285</v>
      </c>
      <c r="D29" s="835"/>
      <c r="E29" s="796" t="s">
        <v>286</v>
      </c>
      <c r="F29" s="439" t="s">
        <v>1247</v>
      </c>
    </row>
    <row r="30" spans="1:6" ht="14.1" customHeight="1" x14ac:dyDescent="0.25">
      <c r="A30" s="841"/>
      <c r="B30" s="835"/>
      <c r="C30" s="429" t="s">
        <v>532</v>
      </c>
      <c r="D30" s="835"/>
      <c r="E30" s="822" t="s">
        <v>22</v>
      </c>
      <c r="F30" s="438" t="s">
        <v>157</v>
      </c>
    </row>
    <row r="31" spans="1:6" ht="75" x14ac:dyDescent="0.25">
      <c r="A31" s="835" t="s">
        <v>7</v>
      </c>
      <c r="B31" s="835" t="s">
        <v>1244</v>
      </c>
      <c r="C31" s="739"/>
      <c r="D31" s="835" t="s">
        <v>1327</v>
      </c>
      <c r="E31" s="796" t="s">
        <v>1328</v>
      </c>
      <c r="F31" s="438" t="s">
        <v>1332</v>
      </c>
    </row>
    <row r="32" spans="1:6" ht="60" x14ac:dyDescent="0.25">
      <c r="A32" s="835"/>
      <c r="B32" s="835"/>
      <c r="C32" s="781"/>
      <c r="D32" s="835"/>
      <c r="E32" s="796" t="s">
        <v>1329</v>
      </c>
      <c r="F32" s="438" t="s">
        <v>1333</v>
      </c>
    </row>
    <row r="33" spans="1:10" ht="45.75" thickBot="1" x14ac:dyDescent="0.25">
      <c r="A33" s="838"/>
      <c r="B33" s="835"/>
      <c r="C33" s="739" t="s">
        <v>509</v>
      </c>
      <c r="D33" s="783" t="s">
        <v>1330</v>
      </c>
      <c r="E33" s="796" t="s">
        <v>1331</v>
      </c>
      <c r="F33" s="94" t="s">
        <v>1334</v>
      </c>
    </row>
    <row r="34" spans="1:10" ht="45" x14ac:dyDescent="0.25">
      <c r="A34" s="67" t="s">
        <v>2</v>
      </c>
      <c r="B34" s="358" t="s">
        <v>624</v>
      </c>
      <c r="C34" s="432" t="s">
        <v>516</v>
      </c>
      <c r="D34" s="424" t="s">
        <v>1346</v>
      </c>
      <c r="E34" s="821" t="s">
        <v>23</v>
      </c>
      <c r="F34" s="442"/>
      <c r="J34" s="3"/>
    </row>
    <row r="35" spans="1:10" ht="45.75" thickBot="1" x14ac:dyDescent="0.3">
      <c r="A35" s="69" t="s">
        <v>2</v>
      </c>
      <c r="B35" s="359" t="s">
        <v>625</v>
      </c>
      <c r="C35" s="431" t="s">
        <v>514</v>
      </c>
      <c r="D35" s="425" t="s">
        <v>1347</v>
      </c>
      <c r="E35" s="797" t="s">
        <v>14</v>
      </c>
      <c r="F35" s="443"/>
      <c r="J35" s="3"/>
    </row>
    <row r="36" spans="1:10" ht="15" x14ac:dyDescent="0.25">
      <c r="A36" s="841" t="s">
        <v>3</v>
      </c>
      <c r="B36" s="835" t="s">
        <v>626</v>
      </c>
      <c r="C36" s="433" t="s">
        <v>512</v>
      </c>
      <c r="D36" s="68" t="s">
        <v>1249</v>
      </c>
      <c r="E36" s="822" t="s">
        <v>623</v>
      </c>
      <c r="F36" s="442"/>
    </row>
    <row r="37" spans="1:10" ht="15.75" thickBot="1" x14ac:dyDescent="0.3">
      <c r="A37" s="844"/>
      <c r="B37" s="835"/>
      <c r="C37" s="429" t="s">
        <v>557</v>
      </c>
      <c r="D37" s="68" t="s">
        <v>1250</v>
      </c>
      <c r="E37" s="796" t="s">
        <v>306</v>
      </c>
      <c r="F37" s="443"/>
    </row>
    <row r="38" spans="1:10" ht="15" x14ac:dyDescent="0.25">
      <c r="A38" s="848" t="s">
        <v>4</v>
      </c>
      <c r="B38" s="850" t="s">
        <v>1</v>
      </c>
      <c r="C38" s="434" t="s">
        <v>300</v>
      </c>
      <c r="D38" s="850" t="s">
        <v>1262</v>
      </c>
      <c r="E38" s="833" t="s">
        <v>293</v>
      </c>
      <c r="F38" s="444" t="s">
        <v>602</v>
      </c>
    </row>
    <row r="39" spans="1:10" ht="14.45" customHeight="1" x14ac:dyDescent="0.2">
      <c r="A39" s="849"/>
      <c r="B39" s="851"/>
      <c r="C39" s="847" t="s">
        <v>294</v>
      </c>
      <c r="D39" s="851"/>
      <c r="E39" s="834"/>
      <c r="F39" s="445" t="s">
        <v>603</v>
      </c>
    </row>
    <row r="40" spans="1:10" ht="14.45" customHeight="1" x14ac:dyDescent="0.2">
      <c r="A40" s="849"/>
      <c r="B40" s="851"/>
      <c r="C40" s="847"/>
      <c r="D40" s="851"/>
      <c r="E40" s="834"/>
      <c r="F40" s="445" t="s">
        <v>604</v>
      </c>
    </row>
    <row r="41" spans="1:10" ht="14.45" customHeight="1" x14ac:dyDescent="0.2">
      <c r="A41" s="849"/>
      <c r="B41" s="851"/>
      <c r="C41" s="847"/>
      <c r="D41" s="851"/>
      <c r="E41" s="834"/>
      <c r="F41" s="445" t="s">
        <v>605</v>
      </c>
    </row>
    <row r="42" spans="1:10" ht="14.45" customHeight="1" x14ac:dyDescent="0.2">
      <c r="A42" s="849"/>
      <c r="B42" s="851"/>
      <c r="C42" s="847"/>
      <c r="D42" s="851"/>
      <c r="E42" s="834"/>
      <c r="F42" s="445" t="s">
        <v>606</v>
      </c>
    </row>
    <row r="43" spans="1:10" ht="14.45" customHeight="1" x14ac:dyDescent="0.2">
      <c r="A43" s="849"/>
      <c r="B43" s="851"/>
      <c r="C43" s="847"/>
      <c r="D43" s="851"/>
      <c r="E43" s="834"/>
      <c r="F43" s="445" t="s">
        <v>607</v>
      </c>
    </row>
    <row r="44" spans="1:10" ht="14.45" customHeight="1" x14ac:dyDescent="0.2">
      <c r="A44" s="849"/>
      <c r="B44" s="851"/>
      <c r="C44" s="847"/>
      <c r="D44" s="851"/>
      <c r="E44" s="834"/>
      <c r="F44" s="445" t="s">
        <v>628</v>
      </c>
    </row>
    <row r="45" spans="1:10" ht="14.45" customHeight="1" x14ac:dyDescent="0.2">
      <c r="A45" s="849"/>
      <c r="B45" s="851"/>
      <c r="C45" s="847"/>
      <c r="D45" s="851"/>
      <c r="E45" s="834"/>
      <c r="F45" s="445" t="s">
        <v>629</v>
      </c>
    </row>
    <row r="46" spans="1:10" ht="14.45" customHeight="1" x14ac:dyDescent="0.2">
      <c r="A46" s="849"/>
      <c r="B46" s="851"/>
      <c r="C46" s="847"/>
      <c r="D46" s="851"/>
      <c r="E46" s="834"/>
      <c r="F46" s="445" t="s">
        <v>608</v>
      </c>
    </row>
    <row r="47" spans="1:10" ht="14.45" customHeight="1" x14ac:dyDescent="0.2">
      <c r="A47" s="849"/>
      <c r="B47" s="851"/>
      <c r="C47" s="847"/>
      <c r="D47" s="851"/>
      <c r="E47" s="834"/>
      <c r="F47" s="445" t="s">
        <v>609</v>
      </c>
    </row>
    <row r="48" spans="1:10" ht="14.45" customHeight="1" x14ac:dyDescent="0.2">
      <c r="A48" s="849"/>
      <c r="B48" s="851"/>
      <c r="C48" s="847"/>
      <c r="D48" s="851"/>
      <c r="E48" s="834"/>
      <c r="F48" s="444" t="s">
        <v>594</v>
      </c>
    </row>
    <row r="49" spans="1:6" ht="14.45" customHeight="1" x14ac:dyDescent="0.2">
      <c r="A49" s="849"/>
      <c r="B49" s="851"/>
      <c r="C49" s="847"/>
      <c r="D49" s="851"/>
      <c r="E49" s="834"/>
      <c r="F49" s="445" t="s">
        <v>595</v>
      </c>
    </row>
    <row r="50" spans="1:6" ht="14.45" customHeight="1" x14ac:dyDescent="0.2">
      <c r="A50" s="849"/>
      <c r="B50" s="851"/>
      <c r="C50" s="847"/>
      <c r="D50" s="851"/>
      <c r="E50" s="834"/>
      <c r="F50" s="445" t="s">
        <v>596</v>
      </c>
    </row>
    <row r="51" spans="1:6" ht="14.45" customHeight="1" x14ac:dyDescent="0.2">
      <c r="A51" s="849"/>
      <c r="B51" s="851"/>
      <c r="C51" s="847"/>
      <c r="D51" s="851"/>
      <c r="E51" s="834"/>
      <c r="F51" s="445" t="s">
        <v>597</v>
      </c>
    </row>
    <row r="52" spans="1:6" ht="14.45" customHeight="1" x14ac:dyDescent="0.2">
      <c r="A52" s="849"/>
      <c r="B52" s="851"/>
      <c r="C52" s="847"/>
      <c r="D52" s="851"/>
      <c r="E52" s="834"/>
      <c r="F52" s="444" t="s">
        <v>598</v>
      </c>
    </row>
    <row r="53" spans="1:6" ht="14.45" customHeight="1" x14ac:dyDescent="0.2">
      <c r="A53" s="849"/>
      <c r="B53" s="851"/>
      <c r="C53" s="847"/>
      <c r="D53" s="851"/>
      <c r="E53" s="834"/>
      <c r="F53" s="445" t="s">
        <v>599</v>
      </c>
    </row>
    <row r="54" spans="1:6" ht="14.45" customHeight="1" x14ac:dyDescent="0.2">
      <c r="A54" s="849"/>
      <c r="B54" s="851"/>
      <c r="C54" s="847"/>
      <c r="D54" s="851"/>
      <c r="E54" s="834"/>
      <c r="F54" s="445" t="s">
        <v>600</v>
      </c>
    </row>
    <row r="55" spans="1:6" ht="14.45" customHeight="1" x14ac:dyDescent="0.2">
      <c r="A55" s="849"/>
      <c r="B55" s="851"/>
      <c r="C55" s="847"/>
      <c r="D55" s="851"/>
      <c r="E55" s="834"/>
      <c r="F55" s="445" t="s">
        <v>601</v>
      </c>
    </row>
    <row r="56" spans="1:6" ht="14.45" customHeight="1" x14ac:dyDescent="0.2">
      <c r="A56" s="849"/>
      <c r="B56" s="851"/>
      <c r="C56" s="847"/>
      <c r="D56" s="851"/>
      <c r="E56" s="834"/>
      <c r="F56" s="446" t="s">
        <v>581</v>
      </c>
    </row>
    <row r="57" spans="1:6" ht="15" x14ac:dyDescent="0.2">
      <c r="A57" s="849"/>
      <c r="B57" s="851"/>
      <c r="C57" s="847" t="s">
        <v>295</v>
      </c>
      <c r="D57" s="851"/>
      <c r="E57" s="834"/>
      <c r="F57" s="439" t="s">
        <v>582</v>
      </c>
    </row>
    <row r="58" spans="1:6" ht="12.6" customHeight="1" x14ac:dyDescent="0.2">
      <c r="A58" s="849"/>
      <c r="B58" s="851"/>
      <c r="C58" s="847"/>
      <c r="D58" s="851"/>
      <c r="E58" s="834"/>
      <c r="F58" s="439" t="s">
        <v>583</v>
      </c>
    </row>
    <row r="59" spans="1:6" ht="12.6" customHeight="1" x14ac:dyDescent="0.2">
      <c r="A59" s="849"/>
      <c r="B59" s="851"/>
      <c r="C59" s="847"/>
      <c r="D59" s="851"/>
      <c r="E59" s="834"/>
      <c r="F59" s="439" t="s">
        <v>584</v>
      </c>
    </row>
    <row r="60" spans="1:6" ht="12.6" customHeight="1" x14ac:dyDescent="0.2">
      <c r="A60" s="849"/>
      <c r="B60" s="851"/>
      <c r="C60" s="847"/>
      <c r="D60" s="851"/>
      <c r="E60" s="834"/>
      <c r="F60" s="439" t="s">
        <v>585</v>
      </c>
    </row>
    <row r="61" spans="1:6" ht="12.6" customHeight="1" x14ac:dyDescent="0.2">
      <c r="A61" s="849"/>
      <c r="B61" s="851"/>
      <c r="C61" s="847"/>
      <c r="D61" s="851"/>
      <c r="E61" s="834"/>
      <c r="F61" s="439" t="s">
        <v>586</v>
      </c>
    </row>
    <row r="62" spans="1:6" ht="12.6" customHeight="1" x14ac:dyDescent="0.2">
      <c r="A62" s="849"/>
      <c r="B62" s="851"/>
      <c r="C62" s="847"/>
      <c r="D62" s="851"/>
      <c r="E62" s="834"/>
      <c r="F62" s="439" t="s">
        <v>587</v>
      </c>
    </row>
    <row r="63" spans="1:6" ht="12.6" customHeight="1" x14ac:dyDescent="0.2">
      <c r="A63" s="849"/>
      <c r="B63" s="851"/>
      <c r="C63" s="847"/>
      <c r="D63" s="851"/>
      <c r="E63" s="834"/>
      <c r="F63" s="446" t="s">
        <v>588</v>
      </c>
    </row>
    <row r="64" spans="1:6" ht="12.6" customHeight="1" x14ac:dyDescent="0.2">
      <c r="A64" s="849"/>
      <c r="B64" s="851"/>
      <c r="C64" s="847"/>
      <c r="D64" s="851"/>
      <c r="E64" s="834"/>
      <c r="F64" s="439" t="s">
        <v>589</v>
      </c>
    </row>
    <row r="65" spans="1:6" ht="12.6" customHeight="1" x14ac:dyDescent="0.2">
      <c r="A65" s="849"/>
      <c r="B65" s="851"/>
      <c r="C65" s="847"/>
      <c r="D65" s="851"/>
      <c r="E65" s="834"/>
      <c r="F65" s="439" t="s">
        <v>590</v>
      </c>
    </row>
    <row r="66" spans="1:6" ht="12.6" customHeight="1" x14ac:dyDescent="0.2">
      <c r="A66" s="849"/>
      <c r="B66" s="851"/>
      <c r="C66" s="847"/>
      <c r="D66" s="851"/>
      <c r="E66" s="834"/>
      <c r="F66" s="439" t="s">
        <v>591</v>
      </c>
    </row>
    <row r="67" spans="1:6" ht="12.6" customHeight="1" x14ac:dyDescent="0.2">
      <c r="A67" s="849"/>
      <c r="B67" s="851"/>
      <c r="C67" s="847"/>
      <c r="D67" s="851"/>
      <c r="E67" s="834"/>
      <c r="F67" s="439" t="s">
        <v>630</v>
      </c>
    </row>
    <row r="68" spans="1:6" ht="12.6" customHeight="1" x14ac:dyDescent="0.2">
      <c r="A68" s="849"/>
      <c r="B68" s="851"/>
      <c r="C68" s="847"/>
      <c r="D68" s="851"/>
      <c r="E68" s="834"/>
      <c r="F68" s="439" t="s">
        <v>592</v>
      </c>
    </row>
    <row r="69" spans="1:6" ht="12.6" customHeight="1" x14ac:dyDescent="0.2">
      <c r="A69" s="849"/>
      <c r="B69" s="851"/>
      <c r="C69" s="847"/>
      <c r="D69" s="851"/>
      <c r="E69" s="834"/>
      <c r="F69" s="439" t="s">
        <v>593</v>
      </c>
    </row>
    <row r="70" spans="1:6" ht="12.6" customHeight="1" thickBot="1" x14ac:dyDescent="0.25">
      <c r="A70" s="849"/>
      <c r="B70" s="851"/>
      <c r="C70" s="847"/>
      <c r="D70" s="852"/>
      <c r="E70" s="834"/>
      <c r="F70" s="446" t="s">
        <v>580</v>
      </c>
    </row>
    <row r="71" spans="1:6" ht="45" x14ac:dyDescent="0.2">
      <c r="A71" s="840" t="s">
        <v>27</v>
      </c>
      <c r="B71" s="837" t="s">
        <v>1318</v>
      </c>
      <c r="C71" s="432" t="s">
        <v>162</v>
      </c>
      <c r="D71" s="836" t="s">
        <v>1319</v>
      </c>
      <c r="E71" s="821" t="s">
        <v>1320</v>
      </c>
      <c r="F71" s="447"/>
    </row>
    <row r="72" spans="1:6" ht="60" x14ac:dyDescent="0.2">
      <c r="A72" s="841"/>
      <c r="B72" s="835"/>
      <c r="C72" s="780"/>
      <c r="D72" s="836"/>
      <c r="E72" s="796" t="s">
        <v>1321</v>
      </c>
      <c r="F72" s="446"/>
    </row>
    <row r="73" spans="1:6" ht="75.75" thickBot="1" x14ac:dyDescent="0.25">
      <c r="A73" s="841"/>
      <c r="B73" s="838"/>
      <c r="C73" s="780"/>
      <c r="D73" s="836"/>
      <c r="E73" s="796" t="s">
        <v>1322</v>
      </c>
      <c r="F73" s="446"/>
    </row>
    <row r="74" spans="1:6" ht="75" x14ac:dyDescent="0.25">
      <c r="A74" s="841"/>
      <c r="B74" s="837" t="s">
        <v>163</v>
      </c>
      <c r="C74" s="780"/>
      <c r="D74" s="836" t="s">
        <v>1323</v>
      </c>
      <c r="E74" s="784" t="s">
        <v>1324</v>
      </c>
      <c r="F74" s="446"/>
    </row>
    <row r="75" spans="1:6" ht="45" x14ac:dyDescent="0.25">
      <c r="A75" s="841"/>
      <c r="B75" s="835"/>
      <c r="C75" s="780"/>
      <c r="D75" s="836"/>
      <c r="E75" s="782" t="s">
        <v>1325</v>
      </c>
      <c r="F75" s="446"/>
    </row>
    <row r="76" spans="1:6" ht="45.75" thickBot="1" x14ac:dyDescent="0.3">
      <c r="A76" s="841"/>
      <c r="B76" s="835"/>
      <c r="C76" s="431" t="s">
        <v>163</v>
      </c>
      <c r="D76" s="836"/>
      <c r="E76" s="782" t="s">
        <v>1326</v>
      </c>
      <c r="F76" s="455"/>
    </row>
  </sheetData>
  <mergeCells count="38">
    <mergeCell ref="B74:B76"/>
    <mergeCell ref="D74:D76"/>
    <mergeCell ref="A71:A76"/>
    <mergeCell ref="C14:C19"/>
    <mergeCell ref="D8:D12"/>
    <mergeCell ref="B8:B12"/>
    <mergeCell ref="A8:A12"/>
    <mergeCell ref="A38:A70"/>
    <mergeCell ref="B38:B70"/>
    <mergeCell ref="D38:D70"/>
    <mergeCell ref="A36:A37"/>
    <mergeCell ref="A31:A33"/>
    <mergeCell ref="B31:B33"/>
    <mergeCell ref="C57:C70"/>
    <mergeCell ref="C39:C56"/>
    <mergeCell ref="E8:E12"/>
    <mergeCell ref="B13:B19"/>
    <mergeCell ref="A13:A19"/>
    <mergeCell ref="D14:D19"/>
    <mergeCell ref="E14:E19"/>
    <mergeCell ref="C8:C12"/>
    <mergeCell ref="E20:E23"/>
    <mergeCell ref="B27:B30"/>
    <mergeCell ref="A27:A30"/>
    <mergeCell ref="D27:D30"/>
    <mergeCell ref="D24:D26"/>
    <mergeCell ref="E24:E26"/>
    <mergeCell ref="C20:C23"/>
    <mergeCell ref="A24:A26"/>
    <mergeCell ref="B24:B26"/>
    <mergeCell ref="B20:B23"/>
    <mergeCell ref="A20:A23"/>
    <mergeCell ref="D20:D23"/>
    <mergeCell ref="E38:E70"/>
    <mergeCell ref="B36:B37"/>
    <mergeCell ref="D71:D73"/>
    <mergeCell ref="B71:B73"/>
    <mergeCell ref="D31:D32"/>
  </mergeCells>
  <printOptions gridLines="1"/>
  <pageMargins left="0.25" right="0.25" top="0.75" bottom="0.75" header="0.3" footer="0.3"/>
  <pageSetup scale="60" orientation="landscape" r:id="rId1"/>
  <headerFooter>
    <oddFooter>&amp;L&amp;A&amp;C&amp;P of &amp;N&amp;R&amp;D</oddFooter>
  </headerFooter>
  <rowBreaks count="1" manualBreakCount="1">
    <brk id="3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pane xSplit="1" ySplit="2" topLeftCell="B18" activePane="bottomRight" state="frozen"/>
      <selection activeCell="C47" sqref="C47"/>
      <selection pane="topRight" activeCell="C47" sqref="C47"/>
      <selection pane="bottomLeft" activeCell="C47" sqref="C47"/>
      <selection pane="bottomRight" activeCell="F30" sqref="F30"/>
    </sheetView>
  </sheetViews>
  <sheetFormatPr defaultColWidth="8.7109375" defaultRowHeight="12.75" x14ac:dyDescent="0.2"/>
  <cols>
    <col min="1" max="1" width="29.140625" style="2" customWidth="1"/>
    <col min="2" max="2" width="8.140625" style="2" customWidth="1"/>
    <col min="3" max="3" width="10.85546875" style="2" bestFit="1" customWidth="1"/>
    <col min="4" max="4" width="8.7109375" style="2"/>
    <col min="5" max="5" width="2.5703125" style="2" customWidth="1"/>
    <col min="6" max="6" width="8.85546875" style="2" bestFit="1" customWidth="1"/>
    <col min="7" max="7" width="10" style="2" customWidth="1"/>
    <col min="8" max="16384" width="8.7109375" style="2"/>
  </cols>
  <sheetData>
    <row r="1" spans="1:8" x14ac:dyDescent="0.2">
      <c r="A1" s="18" t="s">
        <v>178</v>
      </c>
      <c r="B1" s="854" t="s">
        <v>176</v>
      </c>
      <c r="C1" s="854"/>
      <c r="D1" s="854"/>
      <c r="F1" s="854" t="s">
        <v>1353</v>
      </c>
      <c r="G1" s="854"/>
      <c r="H1" s="854"/>
    </row>
    <row r="2" spans="1:8" ht="25.5" x14ac:dyDescent="0.2">
      <c r="A2" s="58"/>
      <c r="B2" s="12" t="s">
        <v>1242</v>
      </c>
      <c r="C2" s="12" t="s">
        <v>1243</v>
      </c>
      <c r="D2" s="12" t="s">
        <v>177</v>
      </c>
      <c r="F2" s="12" t="s">
        <v>1242</v>
      </c>
      <c r="G2" s="12" t="s">
        <v>1243</v>
      </c>
      <c r="H2" s="12" t="s">
        <v>177</v>
      </c>
    </row>
    <row r="3" spans="1:8" x14ac:dyDescent="0.2">
      <c r="A3" s="11" t="s">
        <v>34</v>
      </c>
      <c r="B3" s="872"/>
      <c r="C3" s="872"/>
      <c r="D3" s="872"/>
      <c r="F3" s="872"/>
      <c r="G3" s="872"/>
      <c r="H3" s="872"/>
    </row>
    <row r="4" spans="1:8" s="18" customFormat="1" x14ac:dyDescent="0.2">
      <c r="A4" s="18" t="s">
        <v>30</v>
      </c>
      <c r="B4" s="62">
        <v>33</v>
      </c>
      <c r="C4" s="47">
        <f>B4+5</f>
        <v>38</v>
      </c>
      <c r="D4" s="47">
        <f>C4-B4</f>
        <v>5</v>
      </c>
      <c r="F4" s="62">
        <v>26</v>
      </c>
      <c r="G4" s="62">
        <f>F4+5</f>
        <v>31</v>
      </c>
      <c r="H4" s="47">
        <f>G4-F4</f>
        <v>5</v>
      </c>
    </row>
    <row r="5" spans="1:8" x14ac:dyDescent="0.2">
      <c r="A5" s="3" t="s">
        <v>31</v>
      </c>
      <c r="B5" s="24">
        <v>29</v>
      </c>
      <c r="C5" s="24">
        <f>B5+5</f>
        <v>34</v>
      </c>
      <c r="D5" s="13">
        <f>C5-B5</f>
        <v>5</v>
      </c>
      <c r="F5" s="13">
        <v>22</v>
      </c>
      <c r="G5" s="13">
        <f>F5+5</f>
        <v>27</v>
      </c>
      <c r="H5" s="13">
        <f>G5-F5</f>
        <v>5</v>
      </c>
    </row>
    <row r="6" spans="1:8" x14ac:dyDescent="0.2">
      <c r="A6" s="3" t="s">
        <v>32</v>
      </c>
      <c r="B6" s="24">
        <v>79</v>
      </c>
      <c r="C6" s="24">
        <v>75</v>
      </c>
      <c r="D6" s="13">
        <f>C6-B6</f>
        <v>-4</v>
      </c>
      <c r="F6" s="59">
        <v>27</v>
      </c>
      <c r="G6" s="13">
        <f>F6+5</f>
        <v>32</v>
      </c>
      <c r="H6" s="13">
        <f>G6-F6</f>
        <v>5</v>
      </c>
    </row>
    <row r="7" spans="1:8" x14ac:dyDescent="0.2">
      <c r="A7" s="3" t="s">
        <v>33</v>
      </c>
      <c r="B7" s="24"/>
      <c r="C7" s="24"/>
      <c r="D7" s="13">
        <f>C7-B7</f>
        <v>0</v>
      </c>
      <c r="F7" s="13">
        <v>73</v>
      </c>
      <c r="G7" s="13">
        <v>75</v>
      </c>
      <c r="H7" s="13">
        <f>G7-F7</f>
        <v>2</v>
      </c>
    </row>
    <row r="8" spans="1:8" x14ac:dyDescent="0.2">
      <c r="A8" s="16"/>
      <c r="B8" s="3"/>
      <c r="C8" s="15"/>
    </row>
    <row r="9" spans="1:8" x14ac:dyDescent="0.2">
      <c r="A9" s="11" t="s">
        <v>35</v>
      </c>
      <c r="B9" s="856"/>
      <c r="C9" s="856"/>
      <c r="D9" s="856"/>
      <c r="F9" s="57"/>
      <c r="G9" s="57"/>
      <c r="H9" s="57"/>
    </row>
    <row r="10" spans="1:8" s="18" customFormat="1" x14ac:dyDescent="0.2">
      <c r="A10" s="18" t="s">
        <v>43</v>
      </c>
      <c r="B10" s="62"/>
      <c r="C10" s="62"/>
      <c r="D10" s="62"/>
      <c r="E10" s="62"/>
      <c r="F10" s="62"/>
      <c r="G10" s="62"/>
      <c r="H10" s="62"/>
    </row>
    <row r="11" spans="1:8" s="18" customFormat="1" x14ac:dyDescent="0.2">
      <c r="A11" s="3" t="s">
        <v>382</v>
      </c>
      <c r="B11" s="62"/>
      <c r="C11" s="62"/>
      <c r="D11" s="62"/>
      <c r="E11" s="62"/>
      <c r="F11" s="62">
        <v>93.8</v>
      </c>
      <c r="G11" s="62">
        <v>75</v>
      </c>
      <c r="H11" s="62"/>
    </row>
    <row r="12" spans="1:8" s="18" customFormat="1" x14ac:dyDescent="0.2">
      <c r="A12" s="18" t="s">
        <v>384</v>
      </c>
      <c r="B12" s="102"/>
      <c r="C12" s="102"/>
      <c r="D12" s="102"/>
      <c r="E12" s="102"/>
      <c r="F12" s="102">
        <v>97.3</v>
      </c>
      <c r="G12" s="62">
        <v>75</v>
      </c>
      <c r="H12" s="102"/>
    </row>
    <row r="13" spans="1:8" s="18" customFormat="1" x14ac:dyDescent="0.2">
      <c r="A13" s="18" t="s">
        <v>45</v>
      </c>
      <c r="B13" s="19"/>
      <c r="C13" s="19"/>
      <c r="D13" s="19">
        <f t="shared" ref="D13:D34" si="0">C13-B13</f>
        <v>0</v>
      </c>
      <c r="F13" s="18">
        <v>18</v>
      </c>
      <c r="G13" s="18">
        <v>25</v>
      </c>
      <c r="H13" s="19">
        <f t="shared" ref="H13:H35" si="1">G13-F13</f>
        <v>7</v>
      </c>
    </row>
    <row r="14" spans="1:8" s="18" customFormat="1" x14ac:dyDescent="0.2">
      <c r="A14" s="18" t="s">
        <v>46</v>
      </c>
      <c r="B14" s="62"/>
      <c r="C14" s="62"/>
      <c r="D14" s="62"/>
      <c r="E14" s="62"/>
      <c r="F14" s="62"/>
      <c r="G14" s="62"/>
      <c r="H14" s="62"/>
    </row>
    <row r="15" spans="1:8" s="18" customFormat="1" x14ac:dyDescent="0.2">
      <c r="A15" s="3" t="s">
        <v>387</v>
      </c>
      <c r="B15" s="62"/>
      <c r="C15" s="62"/>
      <c r="D15" s="62"/>
      <c r="E15" s="62"/>
      <c r="F15" s="62">
        <v>78.8</v>
      </c>
      <c r="G15" s="62">
        <v>75</v>
      </c>
      <c r="H15" s="62"/>
    </row>
    <row r="16" spans="1:8" s="18" customFormat="1" x14ac:dyDescent="0.2">
      <c r="A16" s="18" t="s">
        <v>47</v>
      </c>
      <c r="B16" s="19"/>
      <c r="C16" s="19"/>
      <c r="D16" s="19">
        <f t="shared" si="0"/>
        <v>0</v>
      </c>
      <c r="H16" s="19">
        <f t="shared" si="1"/>
        <v>0</v>
      </c>
    </row>
    <row r="17" spans="1:8" x14ac:dyDescent="0.2">
      <c r="A17" s="3" t="s">
        <v>31</v>
      </c>
      <c r="B17" s="13">
        <v>27</v>
      </c>
      <c r="C17" s="13">
        <f>B17+5</f>
        <v>32</v>
      </c>
      <c r="D17" s="13">
        <f t="shared" si="0"/>
        <v>5</v>
      </c>
      <c r="F17" s="2">
        <v>31</v>
      </c>
      <c r="G17" s="13">
        <f>F17+5</f>
        <v>36</v>
      </c>
      <c r="H17" s="13">
        <f t="shared" si="1"/>
        <v>5</v>
      </c>
    </row>
    <row r="18" spans="1:8" s="18" customFormat="1" x14ac:dyDescent="0.2">
      <c r="A18" s="18" t="s">
        <v>48</v>
      </c>
      <c r="B18" s="19"/>
      <c r="C18" s="19"/>
      <c r="D18" s="19">
        <f t="shared" si="0"/>
        <v>0</v>
      </c>
      <c r="H18" s="19">
        <f t="shared" si="1"/>
        <v>0</v>
      </c>
    </row>
    <row r="19" spans="1:8" x14ac:dyDescent="0.2">
      <c r="A19" s="3" t="s">
        <v>31</v>
      </c>
      <c r="B19" s="24">
        <v>22</v>
      </c>
      <c r="C19" s="24">
        <v>27</v>
      </c>
      <c r="D19" s="13">
        <f t="shared" si="0"/>
        <v>5</v>
      </c>
      <c r="F19" s="2">
        <v>18</v>
      </c>
      <c r="G19" s="2">
        <v>25</v>
      </c>
      <c r="H19" s="13">
        <f t="shared" si="1"/>
        <v>7</v>
      </c>
    </row>
    <row r="20" spans="1:8" s="18" customFormat="1" x14ac:dyDescent="0.2">
      <c r="A20" s="18" t="s">
        <v>49</v>
      </c>
      <c r="B20" s="19">
        <v>23</v>
      </c>
      <c r="C20" s="19">
        <f>B20+5</f>
        <v>28</v>
      </c>
      <c r="D20" s="19">
        <f t="shared" si="0"/>
        <v>5</v>
      </c>
      <c r="F20" s="18">
        <v>21</v>
      </c>
      <c r="G20" s="18">
        <f>F20+5</f>
        <v>26</v>
      </c>
      <c r="H20" s="19">
        <f t="shared" si="1"/>
        <v>5</v>
      </c>
    </row>
    <row r="21" spans="1:8" s="18" customFormat="1" x14ac:dyDescent="0.2">
      <c r="A21" s="18" t="s">
        <v>50</v>
      </c>
      <c r="B21" s="19"/>
      <c r="C21" s="19"/>
      <c r="D21" s="19"/>
      <c r="H21" s="19">
        <f t="shared" si="1"/>
        <v>0</v>
      </c>
    </row>
    <row r="22" spans="1:8" s="18" customFormat="1" x14ac:dyDescent="0.2">
      <c r="A22" s="3" t="s">
        <v>31</v>
      </c>
      <c r="B22" s="21">
        <v>53</v>
      </c>
      <c r="C22" s="21">
        <f>B22+5</f>
        <v>58</v>
      </c>
      <c r="D22" s="21">
        <f t="shared" si="0"/>
        <v>5</v>
      </c>
      <c r="F22" s="3">
        <v>14</v>
      </c>
      <c r="G22" s="3">
        <v>25</v>
      </c>
      <c r="H22" s="21">
        <f t="shared" si="1"/>
        <v>11</v>
      </c>
    </row>
    <row r="23" spans="1:8" s="18" customFormat="1" x14ac:dyDescent="0.2">
      <c r="A23" s="18" t="s">
        <v>51</v>
      </c>
      <c r="B23" s="19"/>
      <c r="C23" s="19"/>
      <c r="D23" s="19"/>
      <c r="H23" s="19"/>
    </row>
    <row r="24" spans="1:8" x14ac:dyDescent="0.2">
      <c r="A24" s="3" t="s">
        <v>31</v>
      </c>
      <c r="B24" s="24">
        <v>29</v>
      </c>
      <c r="C24" s="24">
        <f>B24+5</f>
        <v>34</v>
      </c>
      <c r="D24" s="13">
        <f t="shared" si="0"/>
        <v>5</v>
      </c>
      <c r="F24" s="2">
        <v>35</v>
      </c>
      <c r="G24" s="24">
        <f>F24+5</f>
        <v>40</v>
      </c>
      <c r="H24" s="13">
        <f t="shared" si="1"/>
        <v>5</v>
      </c>
    </row>
    <row r="25" spans="1:8" s="18" customFormat="1" x14ac:dyDescent="0.2">
      <c r="A25" s="18" t="s">
        <v>52</v>
      </c>
      <c r="B25" s="19"/>
      <c r="C25" s="19"/>
      <c r="D25" s="19"/>
      <c r="H25" s="19"/>
    </row>
    <row r="26" spans="1:8" x14ac:dyDescent="0.2">
      <c r="A26" s="3" t="s">
        <v>31</v>
      </c>
      <c r="B26" s="13">
        <v>21</v>
      </c>
      <c r="C26" s="13">
        <f>B26+5</f>
        <v>26</v>
      </c>
      <c r="D26" s="13">
        <f t="shared" si="0"/>
        <v>5</v>
      </c>
      <c r="F26" s="2">
        <v>19</v>
      </c>
      <c r="G26" s="24">
        <v>25</v>
      </c>
      <c r="H26" s="13">
        <f t="shared" si="1"/>
        <v>6</v>
      </c>
    </row>
    <row r="27" spans="1:8" s="18" customFormat="1" x14ac:dyDescent="0.2">
      <c r="A27" s="18" t="s">
        <v>54</v>
      </c>
      <c r="B27" s="62"/>
      <c r="C27" s="62"/>
      <c r="D27" s="62"/>
      <c r="H27" s="19">
        <f t="shared" si="1"/>
        <v>0</v>
      </c>
    </row>
    <row r="28" spans="1:8" ht="12.6" customHeight="1" x14ac:dyDescent="0.2">
      <c r="A28" s="3" t="s">
        <v>391</v>
      </c>
      <c r="B28" s="261">
        <v>64.099999999999994</v>
      </c>
      <c r="C28" s="261">
        <f>B28+5</f>
        <v>69.099999999999994</v>
      </c>
      <c r="D28" s="13">
        <f t="shared" si="0"/>
        <v>5</v>
      </c>
      <c r="F28" s="2">
        <v>22</v>
      </c>
      <c r="G28" s="2">
        <f>F28+5</f>
        <v>27</v>
      </c>
      <c r="H28" s="13">
        <f t="shared" si="1"/>
        <v>5</v>
      </c>
    </row>
    <row r="29" spans="1:8" s="18" customFormat="1" x14ac:dyDescent="0.2">
      <c r="A29" s="18" t="s">
        <v>55</v>
      </c>
      <c r="B29" s="62"/>
      <c r="C29" s="62"/>
      <c r="D29" s="62"/>
      <c r="E29" s="62"/>
      <c r="F29" s="62"/>
      <c r="G29" s="62"/>
      <c r="H29" s="62"/>
    </row>
    <row r="30" spans="1:8" s="18" customFormat="1" x14ac:dyDescent="0.2">
      <c r="A30" s="3" t="s">
        <v>395</v>
      </c>
      <c r="B30" s="261">
        <v>89</v>
      </c>
      <c r="C30" s="261">
        <v>75</v>
      </c>
      <c r="D30" s="13">
        <f t="shared" si="0"/>
        <v>-14</v>
      </c>
      <c r="E30" s="62"/>
      <c r="F30" s="261">
        <v>79</v>
      </c>
      <c r="G30" s="261">
        <v>75</v>
      </c>
      <c r="H30" s="13">
        <f t="shared" si="1"/>
        <v>-4</v>
      </c>
    </row>
    <row r="31" spans="1:8" s="18" customFormat="1" x14ac:dyDescent="0.2">
      <c r="A31" s="18" t="s">
        <v>56</v>
      </c>
      <c r="B31" s="261"/>
      <c r="C31" s="261"/>
      <c r="D31" s="13"/>
      <c r="E31" s="62"/>
      <c r="F31" s="62"/>
      <c r="G31" s="62"/>
      <c r="H31" s="62"/>
    </row>
    <row r="32" spans="1:8" s="18" customFormat="1" x14ac:dyDescent="0.2">
      <c r="A32" s="3" t="s">
        <v>536</v>
      </c>
      <c r="B32" s="261"/>
      <c r="C32" s="261"/>
      <c r="D32" s="13"/>
      <c r="E32" s="62"/>
      <c r="F32" s="62">
        <v>91.1</v>
      </c>
      <c r="G32" s="62">
        <v>90</v>
      </c>
      <c r="H32" s="13">
        <f t="shared" si="1"/>
        <v>-1.0999999999999943</v>
      </c>
    </row>
    <row r="33" spans="1:8" s="18" customFormat="1" x14ac:dyDescent="0.2">
      <c r="A33" s="18" t="s">
        <v>57</v>
      </c>
      <c r="B33" s="19"/>
      <c r="C33" s="19"/>
      <c r="D33" s="19"/>
      <c r="H33" s="19"/>
    </row>
    <row r="34" spans="1:8" s="18" customFormat="1" x14ac:dyDescent="0.2">
      <c r="A34" s="3" t="s">
        <v>31</v>
      </c>
      <c r="B34" s="21">
        <v>52</v>
      </c>
      <c r="C34" s="21">
        <f>B34+5</f>
        <v>57</v>
      </c>
      <c r="D34" s="13">
        <f t="shared" si="0"/>
        <v>5</v>
      </c>
      <c r="F34" s="3">
        <v>27</v>
      </c>
      <c r="G34" s="21">
        <f>F34+5</f>
        <v>32</v>
      </c>
      <c r="H34" s="13">
        <f t="shared" si="1"/>
        <v>5</v>
      </c>
    </row>
    <row r="35" spans="1:8" s="18" customFormat="1" x14ac:dyDescent="0.2">
      <c r="A35" s="18" t="s">
        <v>398</v>
      </c>
      <c r="B35" s="19"/>
      <c r="C35" s="19"/>
      <c r="D35" s="19"/>
      <c r="F35" s="266">
        <v>93</v>
      </c>
      <c r="G35" s="266">
        <v>93</v>
      </c>
      <c r="H35" s="19">
        <f t="shared" si="1"/>
        <v>0</v>
      </c>
    </row>
    <row r="37" spans="1:8" x14ac:dyDescent="0.2">
      <c r="A37" s="18"/>
    </row>
  </sheetData>
  <mergeCells count="5">
    <mergeCell ref="B9:D9"/>
    <mergeCell ref="B1:D1"/>
    <mergeCell ref="F1:H1"/>
    <mergeCell ref="B3:D3"/>
    <mergeCell ref="F3:H3"/>
  </mergeCells>
  <printOptions gridLines="1"/>
  <pageMargins left="0.7" right="0.7" top="0.75" bottom="0.75" header="0.3" footer="0.3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zoomScaleNormal="100" workbookViewId="0">
      <pane xSplit="1" ySplit="2" topLeftCell="B3" activePane="bottomRight" state="frozen"/>
      <selection activeCell="B6" sqref="B6"/>
      <selection pane="topRight" activeCell="B6" sqref="B6"/>
      <selection pane="bottomLeft" activeCell="B6" sqref="B6"/>
      <selection pane="bottomRight" activeCell="AM4" sqref="AM4"/>
    </sheetView>
  </sheetViews>
  <sheetFormatPr defaultColWidth="8.7109375" defaultRowHeight="12.75" x14ac:dyDescent="0.2"/>
  <cols>
    <col min="1" max="1" width="23.5703125" style="2" bestFit="1" customWidth="1"/>
    <col min="2" max="3" width="6.5703125" style="2" bestFit="1" customWidth="1"/>
    <col min="4" max="4" width="6.85546875" style="2" bestFit="1" customWidth="1"/>
    <col min="5" max="6" width="6.5703125" style="2" bestFit="1" customWidth="1"/>
    <col min="7" max="7" width="6.85546875" style="2" bestFit="1" customWidth="1"/>
    <col min="8" max="9" width="6.5703125" style="2" bestFit="1" customWidth="1"/>
    <col min="10" max="10" width="6.85546875" style="2" bestFit="1" customWidth="1"/>
    <col min="11" max="11" width="2.5703125" style="2" customWidth="1"/>
    <col min="12" max="12" width="8.140625" style="2" customWidth="1"/>
    <col min="13" max="13" width="10.85546875" style="2" bestFit="1" customWidth="1"/>
    <col min="14" max="14" width="8.7109375" style="2"/>
    <col min="15" max="15" width="2.5703125" style="2" customWidth="1"/>
    <col min="16" max="16" width="6.42578125" style="2" bestFit="1" customWidth="1"/>
    <col min="17" max="17" width="6.5703125" style="2" bestFit="1" customWidth="1"/>
    <col min="18" max="18" width="6.85546875" style="2" bestFit="1" customWidth="1"/>
    <col min="19" max="19" width="6.42578125" style="2" bestFit="1" customWidth="1"/>
    <col min="20" max="20" width="6.5703125" style="2" bestFit="1" customWidth="1"/>
    <col min="21" max="21" width="6.85546875" style="2" bestFit="1" customWidth="1"/>
    <col min="22" max="22" width="6.42578125" style="2" bestFit="1" customWidth="1"/>
    <col min="23" max="23" width="6.5703125" style="2" bestFit="1" customWidth="1"/>
    <col min="24" max="24" width="6.85546875" style="2" bestFit="1" customWidth="1"/>
    <col min="25" max="25" width="2.5703125" style="2" customWidth="1"/>
    <col min="26" max="26" width="8.140625" style="2" customWidth="1"/>
    <col min="27" max="27" width="10.85546875" style="2" bestFit="1" customWidth="1"/>
    <col min="28" max="28" width="8.7109375" style="2"/>
    <col min="29" max="29" width="2.5703125" style="2" customWidth="1"/>
    <col min="30" max="30" width="8.140625" style="2" customWidth="1"/>
    <col min="31" max="31" width="10.85546875" style="2" bestFit="1" customWidth="1"/>
    <col min="32" max="32" width="8.7109375" style="2"/>
    <col min="33" max="33" width="2.5703125" style="2" customWidth="1"/>
    <col min="34" max="34" width="8.140625" style="2" customWidth="1"/>
    <col min="35" max="35" width="10.85546875" style="2" bestFit="1" customWidth="1"/>
    <col min="36" max="36" width="8.7109375" style="2"/>
    <col min="37" max="37" width="2.5703125" style="2" customWidth="1"/>
    <col min="38" max="38" width="9.5703125" style="2" bestFit="1" customWidth="1"/>
    <col min="39" max="39" width="10.85546875" style="2" bestFit="1" customWidth="1"/>
    <col min="40" max="16384" width="8.7109375" style="2"/>
  </cols>
  <sheetData>
    <row r="1" spans="1:40" ht="13.5" thickBot="1" x14ac:dyDescent="0.25">
      <c r="A1" s="18" t="s">
        <v>298</v>
      </c>
      <c r="B1" s="864" t="s">
        <v>544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P1" s="864" t="s">
        <v>545</v>
      </c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D1" s="854" t="s">
        <v>297</v>
      </c>
      <c r="AE1" s="854"/>
      <c r="AF1" s="854"/>
      <c r="AH1" s="854" t="s">
        <v>306</v>
      </c>
      <c r="AI1" s="854"/>
      <c r="AJ1" s="854"/>
      <c r="AL1" s="854" t="s">
        <v>304</v>
      </c>
      <c r="AM1" s="854"/>
      <c r="AN1" s="854"/>
    </row>
    <row r="2" spans="1:40" ht="38.25" x14ac:dyDescent="0.2">
      <c r="A2" s="58"/>
      <c r="B2" s="853">
        <v>2016</v>
      </c>
      <c r="C2" s="853"/>
      <c r="D2" s="853"/>
      <c r="E2" s="853">
        <v>2017</v>
      </c>
      <c r="F2" s="853"/>
      <c r="G2" s="853"/>
      <c r="H2" s="853">
        <v>2018</v>
      </c>
      <c r="I2" s="853"/>
      <c r="J2" s="853"/>
      <c r="K2" s="58"/>
      <c r="L2" s="107" t="s">
        <v>161</v>
      </c>
      <c r="M2" s="107" t="s">
        <v>158</v>
      </c>
      <c r="N2" s="107" t="s">
        <v>299</v>
      </c>
      <c r="P2" s="853">
        <v>2016</v>
      </c>
      <c r="Q2" s="853"/>
      <c r="R2" s="853"/>
      <c r="S2" s="853">
        <v>2017</v>
      </c>
      <c r="T2" s="853"/>
      <c r="U2" s="853"/>
      <c r="V2" s="853">
        <v>2018</v>
      </c>
      <c r="W2" s="853"/>
      <c r="X2" s="853"/>
      <c r="Y2" s="58"/>
      <c r="Z2" s="107" t="s">
        <v>161</v>
      </c>
      <c r="AA2" s="107" t="s">
        <v>158</v>
      </c>
      <c r="AB2" s="107" t="s">
        <v>299</v>
      </c>
      <c r="AD2" s="12" t="s">
        <v>161</v>
      </c>
      <c r="AE2" s="12" t="s">
        <v>158</v>
      </c>
      <c r="AF2" s="12" t="s">
        <v>299</v>
      </c>
      <c r="AH2" s="12" t="s">
        <v>305</v>
      </c>
      <c r="AI2" s="12" t="s">
        <v>158</v>
      </c>
      <c r="AJ2" s="12" t="s">
        <v>299</v>
      </c>
      <c r="AL2" s="12" t="s">
        <v>507</v>
      </c>
      <c r="AM2" s="12" t="s">
        <v>158</v>
      </c>
      <c r="AN2" s="12" t="s">
        <v>299</v>
      </c>
    </row>
    <row r="3" spans="1:40" x14ac:dyDescent="0.2">
      <c r="A3" s="11" t="s">
        <v>34</v>
      </c>
      <c r="B3" s="104" t="s">
        <v>302</v>
      </c>
      <c r="C3" s="104" t="s">
        <v>301</v>
      </c>
      <c r="D3" s="104" t="s">
        <v>303</v>
      </c>
      <c r="E3" s="104" t="s">
        <v>302</v>
      </c>
      <c r="F3" s="104" t="s">
        <v>301</v>
      </c>
      <c r="G3" s="104" t="s">
        <v>303</v>
      </c>
      <c r="H3" s="104" t="s">
        <v>302</v>
      </c>
      <c r="I3" s="104" t="s">
        <v>301</v>
      </c>
      <c r="J3" s="104" t="s">
        <v>303</v>
      </c>
      <c r="K3" s="29"/>
      <c r="P3" s="104" t="s">
        <v>302</v>
      </c>
      <c r="Q3" s="104" t="s">
        <v>301</v>
      </c>
      <c r="R3" s="104" t="s">
        <v>303</v>
      </c>
      <c r="S3" s="104" t="s">
        <v>302</v>
      </c>
      <c r="T3" s="104" t="s">
        <v>301</v>
      </c>
      <c r="U3" s="104" t="s">
        <v>303</v>
      </c>
      <c r="V3" s="104" t="s">
        <v>302</v>
      </c>
      <c r="W3" s="104" t="s">
        <v>301</v>
      </c>
      <c r="X3" s="104" t="s">
        <v>303</v>
      </c>
      <c r="Y3" s="29"/>
    </row>
    <row r="4" spans="1:40" s="18" customFormat="1" x14ac:dyDescent="0.2">
      <c r="A4" s="18" t="s">
        <v>30</v>
      </c>
      <c r="B4" s="19">
        <f>SUM(B5:B7)</f>
        <v>1205</v>
      </c>
      <c r="C4" s="19">
        <f>SUM(C5:C7)</f>
        <v>8072</v>
      </c>
      <c r="D4" s="100">
        <f>B4/C4</f>
        <v>0.14928146679881071</v>
      </c>
      <c r="E4" s="19">
        <f>SUM(E5:E7)</f>
        <v>1324</v>
      </c>
      <c r="F4" s="19">
        <f>SUM(F5:F7)</f>
        <v>7901</v>
      </c>
      <c r="G4" s="100">
        <f>E4/F4</f>
        <v>0.16757372484495633</v>
      </c>
      <c r="H4" s="19">
        <f>SUM(H5:H7)</f>
        <v>1362</v>
      </c>
      <c r="I4" s="19">
        <f>SUM(I5:I7)</f>
        <v>7976</v>
      </c>
      <c r="J4" s="100">
        <f>H4/I4</f>
        <v>0.17076228686058176</v>
      </c>
      <c r="L4" s="100">
        <f>J4</f>
        <v>0.17076228686058176</v>
      </c>
      <c r="M4" s="360">
        <f>SUMPRODUCT(M5:M7,I5:I7)/SUM(I5:I7)</f>
        <v>0.1561108324974925</v>
      </c>
      <c r="N4" s="100">
        <f>M4-L4</f>
        <v>-1.4651454363089261E-2</v>
      </c>
      <c r="P4" s="19">
        <f>SUM(P5:P7)</f>
        <v>387</v>
      </c>
      <c r="Q4" s="19">
        <f>SUM(Q5:Q7)</f>
        <v>2538.5</v>
      </c>
      <c r="R4" s="100">
        <f>P4/Q4</f>
        <v>0.15245223557218829</v>
      </c>
      <c r="S4" s="19">
        <f>SUM(S5:S7)</f>
        <v>410</v>
      </c>
      <c r="T4" s="19">
        <f>SUM(T5:T7)</f>
        <v>2458.5</v>
      </c>
      <c r="U4" s="100">
        <f>S4/T4</f>
        <v>0.16676835468781778</v>
      </c>
      <c r="V4" s="19">
        <f>SUM(V5:V7)</f>
        <v>390</v>
      </c>
      <c r="W4" s="19">
        <f>SUM(W5:W7)</f>
        <v>2369</v>
      </c>
      <c r="X4" s="100">
        <f>V4/W4</f>
        <v>0.16462642465175178</v>
      </c>
      <c r="Z4" s="100">
        <f>X4</f>
        <v>0.16462642465175178</v>
      </c>
      <c r="AA4" s="360">
        <f>SUMPRODUCT(AA5:AA6,W5:W6)/SUM(W5:W6)</f>
        <v>0.15378115758343897</v>
      </c>
      <c r="AB4" s="100">
        <f>AA4-Z4</f>
        <v>-1.0845267068312819E-2</v>
      </c>
      <c r="AD4" s="19"/>
      <c r="AE4" s="20">
        <v>0.9</v>
      </c>
      <c r="AF4" s="19"/>
      <c r="AH4" s="19" t="s">
        <v>307</v>
      </c>
      <c r="AI4" s="19" t="s">
        <v>308</v>
      </c>
      <c r="AJ4" s="19" t="s">
        <v>309</v>
      </c>
      <c r="AL4" s="19" t="str">
        <f>AL5</f>
        <v>29th %tile</v>
      </c>
      <c r="AM4" s="19" t="str">
        <f>AM5</f>
        <v>34th %tile</v>
      </c>
      <c r="AN4" s="19" t="str">
        <f>AN5</f>
        <v>5 %tile</v>
      </c>
    </row>
    <row r="5" spans="1:40" x14ac:dyDescent="0.2">
      <c r="A5" s="3" t="s">
        <v>31</v>
      </c>
      <c r="B5" s="21">
        <v>907</v>
      </c>
      <c r="C5" s="21">
        <v>6972</v>
      </c>
      <c r="D5" s="105">
        <f>B5/C5</f>
        <v>0.13009179575444635</v>
      </c>
      <c r="E5" s="21">
        <v>1020</v>
      </c>
      <c r="F5" s="21">
        <v>6814.5</v>
      </c>
      <c r="G5" s="105">
        <f>E5/F5</f>
        <v>0.14968082764692933</v>
      </c>
      <c r="H5" s="21">
        <v>1099</v>
      </c>
      <c r="I5" s="21">
        <v>6893</v>
      </c>
      <c r="J5" s="105">
        <f>H5/I5</f>
        <v>0.15943711011170753</v>
      </c>
      <c r="K5" s="3"/>
      <c r="L5" s="106">
        <f>J5</f>
        <v>0.15943711011170753</v>
      </c>
      <c r="M5" s="43">
        <v>0.15</v>
      </c>
      <c r="N5" s="101">
        <f>M5-L5</f>
        <v>-9.4371101117075307E-3</v>
      </c>
      <c r="P5" s="21">
        <v>297</v>
      </c>
      <c r="Q5" s="21">
        <v>2362.5</v>
      </c>
      <c r="R5" s="105">
        <f>P5/Q5</f>
        <v>0.12571428571428572</v>
      </c>
      <c r="S5" s="21">
        <v>346</v>
      </c>
      <c r="T5" s="21">
        <v>2283.5</v>
      </c>
      <c r="U5" s="105">
        <f>S5/T5</f>
        <v>0.15152178673089556</v>
      </c>
      <c r="V5" s="21">
        <v>340</v>
      </c>
      <c r="W5" s="21">
        <v>2188</v>
      </c>
      <c r="X5" s="105">
        <f>V5/W5</f>
        <v>0.15539305301645337</v>
      </c>
      <c r="Y5" s="3"/>
      <c r="Z5" s="106">
        <f>X5</f>
        <v>0.15539305301645337</v>
      </c>
      <c r="AA5" s="43">
        <v>0.15</v>
      </c>
      <c r="AB5" s="101">
        <f>AA5-Z5</f>
        <v>-5.3930530164533752E-3</v>
      </c>
      <c r="AD5" s="24"/>
      <c r="AE5" s="43">
        <v>0.9</v>
      </c>
      <c r="AF5" s="13"/>
      <c r="AH5" s="24" t="str">
        <f>AH4</f>
        <v>5th %tile</v>
      </c>
      <c r="AI5" s="24" t="str">
        <f t="shared" ref="AI5" si="0">AI4</f>
        <v>25th %tile</v>
      </c>
      <c r="AJ5" s="13" t="str">
        <f>AJ4</f>
        <v>20 %tile</v>
      </c>
      <c r="AL5" s="24" t="s">
        <v>310</v>
      </c>
      <c r="AM5" s="24" t="s">
        <v>311</v>
      </c>
      <c r="AN5" s="13" t="s">
        <v>312</v>
      </c>
    </row>
    <row r="6" spans="1:40" x14ac:dyDescent="0.2">
      <c r="A6" s="3" t="s">
        <v>32</v>
      </c>
      <c r="B6" s="21">
        <v>204</v>
      </c>
      <c r="C6" s="21">
        <v>567</v>
      </c>
      <c r="D6" s="105">
        <f>B6/C6</f>
        <v>0.35978835978835977</v>
      </c>
      <c r="E6" s="21">
        <v>170</v>
      </c>
      <c r="F6" s="21">
        <v>547.5</v>
      </c>
      <c r="G6" s="105">
        <f>E6/F6</f>
        <v>0.31050228310502281</v>
      </c>
      <c r="H6" s="21">
        <v>137</v>
      </c>
      <c r="I6" s="21">
        <v>542</v>
      </c>
      <c r="J6" s="105">
        <f>(H6/I6)</f>
        <v>0.25276752767527677</v>
      </c>
      <c r="K6" s="3"/>
      <c r="L6" s="106">
        <f>J6</f>
        <v>0.25276752767527677</v>
      </c>
      <c r="M6" s="43">
        <v>0.2</v>
      </c>
      <c r="N6" s="101">
        <f>M6-L6</f>
        <v>-5.276752767527676E-2</v>
      </c>
      <c r="P6" s="23">
        <v>89</v>
      </c>
      <c r="Q6" s="23">
        <v>171</v>
      </c>
      <c r="R6" s="105">
        <f>P6/Q6</f>
        <v>0.52046783625730997</v>
      </c>
      <c r="S6" s="23">
        <v>61</v>
      </c>
      <c r="T6" s="23">
        <v>171</v>
      </c>
      <c r="U6" s="105">
        <f>S6/T6</f>
        <v>0.35672514619883039</v>
      </c>
      <c r="V6" s="23">
        <v>47</v>
      </c>
      <c r="W6" s="23">
        <v>179</v>
      </c>
      <c r="X6" s="105">
        <f>(V6/W6)</f>
        <v>0.26256983240223464</v>
      </c>
      <c r="Y6" s="3"/>
      <c r="Z6" s="106">
        <f>X6</f>
        <v>0.26256983240223464</v>
      </c>
      <c r="AA6" s="43">
        <v>0.2</v>
      </c>
      <c r="AB6" s="101">
        <f>AA6-Z6</f>
        <v>-6.2569832402234626E-2</v>
      </c>
      <c r="AD6" s="24"/>
      <c r="AE6" s="43">
        <v>0.9</v>
      </c>
      <c r="AF6" s="13"/>
      <c r="AH6" s="24" t="str">
        <f t="shared" ref="AH6:AH7" si="1">AH5</f>
        <v>5th %tile</v>
      </c>
      <c r="AI6" s="24" t="str">
        <f t="shared" ref="AI6:AI7" si="2">AI5</f>
        <v>25th %tile</v>
      </c>
      <c r="AJ6" s="13" t="str">
        <f t="shared" ref="AJ6:AJ7" si="3">AJ5</f>
        <v>20 %tile</v>
      </c>
      <c r="AL6" s="24" t="s">
        <v>310</v>
      </c>
      <c r="AM6" s="24" t="s">
        <v>311</v>
      </c>
      <c r="AN6" s="13" t="s">
        <v>312</v>
      </c>
    </row>
    <row r="7" spans="1:40" x14ac:dyDescent="0.2">
      <c r="A7" s="3" t="s">
        <v>33</v>
      </c>
      <c r="B7" s="21">
        <v>94</v>
      </c>
      <c r="C7" s="21">
        <v>533</v>
      </c>
      <c r="D7" s="105">
        <f>B7/C7</f>
        <v>0.17636022514071295</v>
      </c>
      <c r="E7" s="21">
        <v>134</v>
      </c>
      <c r="F7" s="21">
        <v>539</v>
      </c>
      <c r="G7" s="105">
        <f>E7/F7</f>
        <v>0.24860853432282004</v>
      </c>
      <c r="H7" s="21">
        <f>63*2</f>
        <v>126</v>
      </c>
      <c r="I7" s="21">
        <f>541</f>
        <v>541</v>
      </c>
      <c r="J7" s="105">
        <f>(H7/I7)</f>
        <v>0.23290203327171904</v>
      </c>
      <c r="K7" s="3"/>
      <c r="L7" s="106">
        <f>J7</f>
        <v>0.23290203327171904</v>
      </c>
      <c r="M7" s="43">
        <v>0.19</v>
      </c>
      <c r="N7" s="101">
        <f>M7-L7</f>
        <v>-4.2902033271719042E-2</v>
      </c>
      <c r="P7" s="21">
        <v>1</v>
      </c>
      <c r="Q7" s="21">
        <v>5</v>
      </c>
      <c r="R7" s="105">
        <f>P7/Q7</f>
        <v>0.2</v>
      </c>
      <c r="S7" s="21">
        <v>3</v>
      </c>
      <c r="T7" s="21">
        <v>4</v>
      </c>
      <c r="U7" s="105">
        <f>S7/T7</f>
        <v>0.75</v>
      </c>
      <c r="V7" s="21">
        <v>3</v>
      </c>
      <c r="W7" s="21">
        <v>2</v>
      </c>
      <c r="X7" s="105">
        <f>(V7/W7)</f>
        <v>1.5</v>
      </c>
      <c r="Y7" s="3"/>
      <c r="Z7" s="106">
        <f>X7</f>
        <v>1.5</v>
      </c>
      <c r="AA7" s="23" t="s">
        <v>18</v>
      </c>
      <c r="AB7" s="101"/>
      <c r="AD7" s="24"/>
      <c r="AE7" s="43">
        <v>0.9</v>
      </c>
      <c r="AF7" s="13"/>
      <c r="AH7" s="24" t="str">
        <f t="shared" si="1"/>
        <v>5th %tile</v>
      </c>
      <c r="AI7" s="24" t="str">
        <f t="shared" si="2"/>
        <v>25th %tile</v>
      </c>
      <c r="AJ7" s="13" t="str">
        <f t="shared" si="3"/>
        <v>20 %tile</v>
      </c>
      <c r="AL7" s="301" t="s">
        <v>486</v>
      </c>
      <c r="AM7" s="23" t="s">
        <v>308</v>
      </c>
      <c r="AN7" s="21" t="s">
        <v>487</v>
      </c>
    </row>
    <row r="8" spans="1:40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3"/>
      <c r="AA8" s="15"/>
      <c r="AD8" s="3"/>
      <c r="AE8" s="15"/>
      <c r="AH8" s="3"/>
      <c r="AI8" s="15"/>
      <c r="AL8" s="3"/>
      <c r="AM8" s="15"/>
    </row>
    <row r="9" spans="1:40" x14ac:dyDescent="0.2">
      <c r="A9" s="11" t="s">
        <v>35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856"/>
      <c r="M9" s="856"/>
      <c r="N9" s="856"/>
      <c r="P9" s="29"/>
      <c r="Q9" s="29"/>
      <c r="R9" s="29"/>
      <c r="S9" s="29"/>
      <c r="T9" s="29"/>
      <c r="U9" s="29"/>
      <c r="V9" s="29"/>
      <c r="W9" s="29"/>
      <c r="X9" s="29"/>
      <c r="Y9" s="29"/>
      <c r="Z9" s="856"/>
      <c r="AA9" s="856"/>
      <c r="AB9" s="856"/>
      <c r="AD9" s="856"/>
      <c r="AE9" s="856"/>
      <c r="AF9" s="856"/>
      <c r="AH9" s="856"/>
      <c r="AI9" s="856"/>
      <c r="AJ9" s="856"/>
      <c r="AL9" s="856"/>
      <c r="AM9" s="856"/>
      <c r="AN9" s="856"/>
    </row>
    <row r="10" spans="1:40" s="18" customFormat="1" x14ac:dyDescent="0.2">
      <c r="A10" s="18" t="s">
        <v>43</v>
      </c>
      <c r="L10" s="62"/>
      <c r="M10" s="360"/>
      <c r="N10" s="62"/>
      <c r="O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</row>
    <row r="11" spans="1:40" s="18" customFormat="1" x14ac:dyDescent="0.2">
      <c r="A11" s="3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2"/>
      <c r="M11" s="62"/>
      <c r="N11" s="62"/>
      <c r="O11" s="62"/>
      <c r="P11" s="3"/>
      <c r="Q11" s="3"/>
      <c r="R11" s="3"/>
      <c r="S11" s="3"/>
      <c r="T11" s="3"/>
      <c r="U11" s="3"/>
      <c r="V11" s="3"/>
      <c r="W11" s="3"/>
      <c r="X11" s="3"/>
      <c r="Y11" s="3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s="18" customFormat="1" x14ac:dyDescent="0.2">
      <c r="A12" s="18" t="s">
        <v>44</v>
      </c>
      <c r="L12" s="102"/>
      <c r="M12" s="102"/>
      <c r="N12" s="102"/>
      <c r="O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 s="18" customFormat="1" x14ac:dyDescent="0.2">
      <c r="A13" s="18" t="s">
        <v>45</v>
      </c>
      <c r="L13" s="19"/>
      <c r="M13" s="19"/>
      <c r="N13" s="19"/>
      <c r="Z13" s="19"/>
      <c r="AA13" s="19"/>
      <c r="AB13" s="19"/>
      <c r="AD13" s="19"/>
      <c r="AE13" s="19"/>
      <c r="AF13" s="19"/>
      <c r="AH13" s="19"/>
      <c r="AI13" s="19"/>
      <c r="AJ13" s="19"/>
      <c r="AL13" s="19"/>
      <c r="AM13" s="19"/>
      <c r="AN13" s="19"/>
    </row>
    <row r="14" spans="1:40" s="18" customFormat="1" x14ac:dyDescent="0.2">
      <c r="A14" s="18" t="s">
        <v>46</v>
      </c>
      <c r="L14" s="62"/>
      <c r="M14" s="62"/>
      <c r="N14" s="62"/>
      <c r="O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pans="1:40" s="18" customFormat="1" x14ac:dyDescent="0.2">
      <c r="A15" s="3" t="s">
        <v>31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2"/>
      <c r="M15" s="62"/>
      <c r="N15" s="62"/>
      <c r="O15" s="62"/>
      <c r="P15" s="3"/>
      <c r="Q15" s="3"/>
      <c r="R15" s="3"/>
      <c r="S15" s="3"/>
      <c r="T15" s="3"/>
      <c r="U15" s="3"/>
      <c r="V15" s="3"/>
      <c r="W15" s="3"/>
      <c r="X15" s="3"/>
      <c r="Y15" s="3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s="18" customFormat="1" x14ac:dyDescent="0.2">
      <c r="A16" s="18" t="s">
        <v>47</v>
      </c>
      <c r="L16" s="19"/>
      <c r="M16" s="19"/>
      <c r="N16" s="19"/>
      <c r="Z16" s="19"/>
      <c r="AA16" s="19"/>
      <c r="AB16" s="19"/>
      <c r="AD16" s="19"/>
      <c r="AE16" s="19"/>
      <c r="AF16" s="19"/>
      <c r="AH16" s="19"/>
      <c r="AI16" s="19"/>
      <c r="AJ16" s="19"/>
      <c r="AL16" s="19"/>
      <c r="AM16" s="19"/>
      <c r="AN16" s="19"/>
    </row>
    <row r="17" spans="1:40" x14ac:dyDescent="0.2">
      <c r="A17" s="3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13"/>
      <c r="AA17" s="13"/>
      <c r="AB17" s="13"/>
      <c r="AD17" s="13"/>
      <c r="AE17" s="13"/>
      <c r="AF17" s="13"/>
      <c r="AH17" s="13"/>
      <c r="AI17" s="13"/>
      <c r="AJ17" s="13"/>
      <c r="AL17" s="13"/>
      <c r="AM17" s="13"/>
      <c r="AN17" s="13"/>
    </row>
    <row r="18" spans="1:40" s="18" customFormat="1" x14ac:dyDescent="0.2">
      <c r="A18" s="18" t="s">
        <v>48</v>
      </c>
      <c r="L18" s="19"/>
      <c r="M18" s="19"/>
      <c r="N18" s="19"/>
      <c r="Z18" s="19"/>
      <c r="AA18" s="19"/>
      <c r="AB18" s="19"/>
      <c r="AD18" s="19"/>
      <c r="AE18" s="19"/>
      <c r="AF18" s="19"/>
      <c r="AH18" s="19"/>
      <c r="AI18" s="19"/>
      <c r="AJ18" s="19"/>
      <c r="AL18" s="19"/>
      <c r="AM18" s="19"/>
      <c r="AN18" s="19"/>
    </row>
    <row r="19" spans="1:40" x14ac:dyDescent="0.2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4"/>
      <c r="M19" s="24"/>
      <c r="N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24"/>
      <c r="AA19" s="24"/>
      <c r="AB19" s="13"/>
      <c r="AD19" s="24"/>
      <c r="AE19" s="24"/>
      <c r="AF19" s="13"/>
      <c r="AH19" s="24"/>
      <c r="AI19" s="24"/>
      <c r="AJ19" s="13"/>
      <c r="AL19" s="24"/>
      <c r="AM19" s="24"/>
      <c r="AN19" s="13"/>
    </row>
    <row r="20" spans="1:40" s="18" customFormat="1" x14ac:dyDescent="0.2">
      <c r="A20" s="18" t="s">
        <v>49</v>
      </c>
      <c r="L20" s="19"/>
      <c r="M20" s="19"/>
      <c r="N20" s="19"/>
      <c r="Z20" s="19"/>
      <c r="AA20" s="19"/>
      <c r="AB20" s="19"/>
      <c r="AD20" s="19"/>
      <c r="AE20" s="19"/>
      <c r="AF20" s="19"/>
      <c r="AH20" s="19"/>
      <c r="AI20" s="19"/>
      <c r="AJ20" s="19"/>
      <c r="AL20" s="19"/>
      <c r="AM20" s="19"/>
      <c r="AN20" s="19"/>
    </row>
    <row r="21" spans="1:40" s="18" customFormat="1" x14ac:dyDescent="0.2">
      <c r="A21" s="18" t="s">
        <v>50</v>
      </c>
      <c r="L21" s="19"/>
      <c r="M21" s="19"/>
      <c r="N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</row>
    <row r="22" spans="1:40" s="18" customFormat="1" x14ac:dyDescent="0.2">
      <c r="A22" s="3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1"/>
      <c r="M22" s="21"/>
      <c r="N22" s="21"/>
      <c r="P22" s="3"/>
      <c r="Q22" s="3"/>
      <c r="R22" s="3"/>
      <c r="S22" s="3"/>
      <c r="T22" s="3"/>
      <c r="U22" s="3"/>
      <c r="V22" s="3"/>
      <c r="W22" s="3"/>
      <c r="X22" s="3"/>
      <c r="Y22" s="3"/>
      <c r="Z22" s="21"/>
      <c r="AA22" s="21"/>
      <c r="AB22" s="21"/>
      <c r="AD22" s="21"/>
      <c r="AE22" s="21"/>
      <c r="AF22" s="21"/>
      <c r="AH22" s="21"/>
      <c r="AI22" s="21"/>
      <c r="AJ22" s="21"/>
      <c r="AL22" s="21"/>
      <c r="AM22" s="21"/>
      <c r="AN22" s="21"/>
    </row>
    <row r="23" spans="1:40" s="18" customFormat="1" x14ac:dyDescent="0.2">
      <c r="A23" s="18" t="s">
        <v>51</v>
      </c>
      <c r="L23" s="19"/>
      <c r="M23" s="19"/>
      <c r="N23" s="19"/>
      <c r="Z23" s="19"/>
      <c r="AA23" s="19"/>
      <c r="AB23" s="19"/>
      <c r="AD23" s="19"/>
      <c r="AE23" s="19"/>
      <c r="AF23" s="19"/>
      <c r="AH23" s="19"/>
      <c r="AI23" s="19"/>
      <c r="AJ23" s="19"/>
      <c r="AL23" s="19"/>
      <c r="AM23" s="19"/>
      <c r="AN23" s="19"/>
    </row>
    <row r="24" spans="1:40" x14ac:dyDescent="0.2">
      <c r="A24" s="3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4"/>
      <c r="M24" s="24"/>
      <c r="N24" s="13"/>
      <c r="P24" s="3"/>
      <c r="Q24" s="3"/>
      <c r="R24" s="3"/>
      <c r="S24" s="3"/>
      <c r="T24" s="3"/>
      <c r="U24" s="3"/>
      <c r="V24" s="3"/>
      <c r="W24" s="3"/>
      <c r="X24" s="3"/>
      <c r="Y24" s="3"/>
      <c r="Z24" s="24"/>
      <c r="AA24" s="24"/>
      <c r="AB24" s="13"/>
      <c r="AD24" s="24"/>
      <c r="AE24" s="24"/>
      <c r="AF24" s="13"/>
      <c r="AH24" s="24"/>
      <c r="AI24" s="24"/>
      <c r="AJ24" s="13"/>
      <c r="AL24" s="24"/>
      <c r="AM24" s="24"/>
      <c r="AN24" s="13"/>
    </row>
    <row r="25" spans="1:40" s="18" customFormat="1" x14ac:dyDescent="0.2">
      <c r="A25" s="18" t="s">
        <v>52</v>
      </c>
      <c r="L25" s="19"/>
      <c r="M25" s="19"/>
      <c r="N25" s="19"/>
      <c r="Z25" s="19"/>
      <c r="AA25" s="19"/>
      <c r="AB25" s="19"/>
      <c r="AD25" s="19"/>
      <c r="AE25" s="19"/>
      <c r="AF25" s="19"/>
      <c r="AH25" s="19"/>
      <c r="AI25" s="19"/>
      <c r="AJ25" s="19"/>
      <c r="AL25" s="19"/>
      <c r="AM25" s="19"/>
      <c r="AN25" s="19"/>
    </row>
    <row r="26" spans="1:40" x14ac:dyDescent="0.2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3"/>
      <c r="M26" s="13"/>
      <c r="N26" s="13"/>
      <c r="P26" s="3"/>
      <c r="Q26" s="3"/>
      <c r="R26" s="3"/>
      <c r="S26" s="3"/>
      <c r="T26" s="3"/>
      <c r="U26" s="3"/>
      <c r="V26" s="3"/>
      <c r="W26" s="3"/>
      <c r="X26" s="3"/>
      <c r="Y26" s="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</row>
    <row r="27" spans="1:40" s="18" customFormat="1" x14ac:dyDescent="0.2">
      <c r="A27" s="18" t="s">
        <v>54</v>
      </c>
      <c r="L27" s="62"/>
      <c r="M27" s="62"/>
      <c r="N27" s="62"/>
      <c r="Z27" s="62"/>
      <c r="AA27" s="62"/>
      <c r="AB27" s="62"/>
      <c r="AD27" s="62"/>
      <c r="AE27" s="62"/>
      <c r="AF27" s="62"/>
      <c r="AH27" s="62"/>
      <c r="AI27" s="62"/>
      <c r="AJ27" s="62"/>
      <c r="AL27" s="62"/>
      <c r="AM27" s="62"/>
      <c r="AN27" s="62"/>
    </row>
    <row r="28" spans="1:40" ht="12.6" customHeight="1" x14ac:dyDescent="0.2">
      <c r="A28" s="3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62"/>
      <c r="M28" s="62"/>
      <c r="N28" s="62"/>
      <c r="P28" s="3"/>
      <c r="Q28" s="3"/>
      <c r="R28" s="3"/>
      <c r="S28" s="3"/>
      <c r="T28" s="3"/>
      <c r="U28" s="3"/>
      <c r="V28" s="3"/>
      <c r="W28" s="3"/>
      <c r="X28" s="3"/>
      <c r="Y28" s="3"/>
      <c r="Z28" s="62"/>
      <c r="AA28" s="62"/>
      <c r="AB28" s="62"/>
      <c r="AD28" s="62"/>
      <c r="AE28" s="62"/>
      <c r="AF28" s="62"/>
      <c r="AH28" s="62"/>
      <c r="AI28" s="62"/>
      <c r="AJ28" s="62"/>
      <c r="AL28" s="62"/>
      <c r="AM28" s="62"/>
      <c r="AN28" s="62"/>
    </row>
    <row r="29" spans="1:40" s="18" customFormat="1" x14ac:dyDescent="0.2">
      <c r="A29" s="18" t="s">
        <v>55</v>
      </c>
      <c r="L29" s="62"/>
      <c r="M29" s="62"/>
      <c r="N29" s="62"/>
      <c r="O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</row>
    <row r="30" spans="1:40" s="18" customFormat="1" x14ac:dyDescent="0.2">
      <c r="A30" s="3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62"/>
      <c r="M30" s="62"/>
      <c r="N30" s="62"/>
      <c r="O30" s="62"/>
      <c r="P30" s="3"/>
      <c r="Q30" s="3"/>
      <c r="R30" s="3"/>
      <c r="S30" s="3"/>
      <c r="T30" s="3"/>
      <c r="U30" s="3"/>
      <c r="V30" s="3"/>
      <c r="W30" s="3"/>
      <c r="X30" s="3"/>
      <c r="Y30" s="3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1:40" s="18" customFormat="1" x14ac:dyDescent="0.2">
      <c r="A31" s="18" t="s">
        <v>57</v>
      </c>
      <c r="L31" s="19"/>
      <c r="M31" s="19"/>
      <c r="N31" s="19"/>
      <c r="Z31" s="19"/>
      <c r="AA31" s="19"/>
      <c r="AB31" s="19"/>
      <c r="AD31" s="19"/>
      <c r="AE31" s="19"/>
      <c r="AF31" s="19"/>
      <c r="AH31" s="19"/>
      <c r="AI31" s="19"/>
      <c r="AJ31" s="19"/>
      <c r="AL31" s="19"/>
      <c r="AM31" s="19"/>
      <c r="AN31" s="19"/>
    </row>
    <row r="32" spans="1:40" s="18" customFormat="1" x14ac:dyDescent="0.2">
      <c r="A32" s="3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1"/>
      <c r="M32" s="21"/>
      <c r="N32" s="13">
        <f>M32-L32</f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21"/>
      <c r="AA32" s="21"/>
      <c r="AB32" s="13">
        <f>AA32-Z32</f>
        <v>0</v>
      </c>
      <c r="AD32" s="21"/>
      <c r="AE32" s="21"/>
      <c r="AF32" s="13">
        <f>AE32-AD32</f>
        <v>0</v>
      </c>
      <c r="AH32" s="21"/>
      <c r="AI32" s="21"/>
      <c r="AJ32" s="13">
        <f>AI32-AH32</f>
        <v>0</v>
      </c>
      <c r="AL32" s="21"/>
      <c r="AM32" s="21"/>
      <c r="AN32" s="13">
        <f>AM32-AL32</f>
        <v>0</v>
      </c>
    </row>
    <row r="33" spans="1:40" s="18" customFormat="1" x14ac:dyDescent="0.2">
      <c r="A33" s="66" t="s">
        <v>58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19"/>
      <c r="M33" s="19"/>
      <c r="N33" s="19">
        <f>M33-L33</f>
        <v>0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19"/>
      <c r="AA33" s="19"/>
      <c r="AB33" s="19">
        <f>AA33-Z33</f>
        <v>0</v>
      </c>
      <c r="AD33" s="19"/>
      <c r="AE33" s="19"/>
      <c r="AF33" s="19">
        <f>AE33-AD33</f>
        <v>0</v>
      </c>
      <c r="AH33" s="19"/>
      <c r="AI33" s="19"/>
      <c r="AJ33" s="19">
        <f>AI33-AH33</f>
        <v>0</v>
      </c>
      <c r="AL33" s="19"/>
      <c r="AM33" s="19"/>
      <c r="AN33" s="19">
        <f>AM33-AL33</f>
        <v>0</v>
      </c>
    </row>
    <row r="35" spans="1:40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</sheetData>
  <mergeCells count="16">
    <mergeCell ref="AL1:AN1"/>
    <mergeCell ref="AL9:AN9"/>
    <mergeCell ref="B2:D2"/>
    <mergeCell ref="E2:G2"/>
    <mergeCell ref="H2:J2"/>
    <mergeCell ref="B1:N1"/>
    <mergeCell ref="L9:N9"/>
    <mergeCell ref="AD1:AF1"/>
    <mergeCell ref="AD9:AF9"/>
    <mergeCell ref="AH1:AJ1"/>
    <mergeCell ref="AH9:AJ9"/>
    <mergeCell ref="P2:R2"/>
    <mergeCell ref="S2:U2"/>
    <mergeCell ref="V2:X2"/>
    <mergeCell ref="Z9:AB9"/>
    <mergeCell ref="P1:AB1"/>
  </mergeCells>
  <printOptions gridLines="1"/>
  <pageMargins left="0.7" right="0.7" top="0.75" bottom="0.75" header="0.3" footer="0.3"/>
  <pageSetup paperSize="5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Normal="100" workbookViewId="0">
      <pane xSplit="1" ySplit="2" topLeftCell="B6" activePane="bottomRight" state="frozen"/>
      <selection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8.7109375" defaultRowHeight="12.75" x14ac:dyDescent="0.2"/>
  <cols>
    <col min="1" max="1" width="41.5703125" style="2" bestFit="1" customWidth="1"/>
    <col min="2" max="2" width="10.140625" style="2" bestFit="1" customWidth="1"/>
    <col min="3" max="3" width="11.140625" style="2" bestFit="1" customWidth="1"/>
    <col min="4" max="4" width="9.42578125" style="2" bestFit="1" customWidth="1"/>
    <col min="5" max="5" width="10.5703125" style="2" bestFit="1" customWidth="1"/>
    <col min="6" max="6" width="2.5703125" style="2" customWidth="1"/>
    <col min="7" max="7" width="10.5703125" style="2" customWidth="1"/>
    <col min="8" max="8" width="10.5703125" style="2" bestFit="1" customWidth="1"/>
    <col min="9" max="9" width="9.42578125" style="2" bestFit="1" customWidth="1"/>
    <col min="10" max="10" width="10.5703125" style="2" bestFit="1" customWidth="1"/>
    <col min="11" max="11" width="2.5703125" style="2" customWidth="1"/>
    <col min="12" max="12" width="9" style="2" customWidth="1"/>
    <col min="13" max="15" width="10.7109375" style="2" customWidth="1"/>
    <col min="16" max="16" width="2.5703125" style="2" customWidth="1"/>
    <col min="17" max="18" width="8.42578125" style="2" bestFit="1" customWidth="1"/>
    <col min="19" max="19" width="9.42578125" style="2" bestFit="1" customWidth="1"/>
    <col min="20" max="20" width="11.85546875" style="2" customWidth="1"/>
    <col min="21" max="21" width="2.5703125" style="2" customWidth="1"/>
    <col min="22" max="22" width="8.5703125" style="2" bestFit="1" customWidth="1"/>
    <col min="23" max="23" width="6.85546875" style="2" bestFit="1" customWidth="1"/>
    <col min="24" max="24" width="11.85546875" style="2" customWidth="1"/>
    <col min="25" max="16384" width="8.7109375" style="2"/>
  </cols>
  <sheetData>
    <row r="1" spans="1:24" x14ac:dyDescent="0.2">
      <c r="A1" s="18" t="s">
        <v>289</v>
      </c>
      <c r="B1" s="854" t="s">
        <v>287</v>
      </c>
      <c r="C1" s="854"/>
      <c r="D1" s="854"/>
      <c r="E1" s="854"/>
      <c r="G1" s="854" t="s">
        <v>288</v>
      </c>
      <c r="H1" s="854"/>
      <c r="I1" s="854"/>
      <c r="J1" s="854"/>
      <c r="L1" s="854" t="s">
        <v>290</v>
      </c>
      <c r="M1" s="854"/>
      <c r="N1" s="854"/>
      <c r="O1" s="854"/>
      <c r="Q1" s="854" t="s">
        <v>291</v>
      </c>
      <c r="R1" s="854"/>
      <c r="S1" s="854"/>
      <c r="T1" s="854"/>
      <c r="V1" s="854" t="s">
        <v>292</v>
      </c>
      <c r="W1" s="854"/>
      <c r="X1" s="854"/>
    </row>
    <row r="2" spans="1:24" ht="38.25" x14ac:dyDescent="0.2">
      <c r="B2" s="12" t="s">
        <v>612</v>
      </c>
      <c r="C2" s="12" t="s">
        <v>613</v>
      </c>
      <c r="D2" s="12" t="s">
        <v>194</v>
      </c>
      <c r="E2" s="12" t="s">
        <v>1261</v>
      </c>
      <c r="G2" s="12" t="s">
        <v>612</v>
      </c>
      <c r="H2" s="12" t="s">
        <v>613</v>
      </c>
      <c r="I2" s="12" t="s">
        <v>194</v>
      </c>
      <c r="J2" s="12" t="s">
        <v>1261</v>
      </c>
      <c r="L2" s="12" t="s">
        <v>612</v>
      </c>
      <c r="M2" s="12" t="s">
        <v>613</v>
      </c>
      <c r="N2" s="12" t="s">
        <v>194</v>
      </c>
      <c r="O2" s="12" t="s">
        <v>1261</v>
      </c>
      <c r="Q2" s="12" t="s">
        <v>612</v>
      </c>
      <c r="R2" s="12" t="s">
        <v>613</v>
      </c>
      <c r="S2" s="12" t="s">
        <v>194</v>
      </c>
      <c r="T2" s="12" t="s">
        <v>1261</v>
      </c>
      <c r="V2" s="12" t="s">
        <v>612</v>
      </c>
      <c r="W2" s="12" t="s">
        <v>613</v>
      </c>
      <c r="X2" s="12" t="s">
        <v>1261</v>
      </c>
    </row>
    <row r="3" spans="1:24" x14ac:dyDescent="0.2">
      <c r="A3" s="11" t="s">
        <v>34</v>
      </c>
    </row>
    <row r="4" spans="1:24" s="18" customFormat="1" x14ac:dyDescent="0.2">
      <c r="A4" s="18" t="s">
        <v>30</v>
      </c>
      <c r="B4" s="19">
        <f>SUM(B5:B7)</f>
        <v>1329030.1629999999</v>
      </c>
      <c r="C4" s="19">
        <f>SUM(C5:C7)</f>
        <v>1415828.2509999999</v>
      </c>
      <c r="D4" s="19">
        <f>C4-B4</f>
        <v>86798.087999999989</v>
      </c>
      <c r="E4" s="20">
        <f>D4/B4</f>
        <v>6.5309343923445617E-2</v>
      </c>
      <c r="G4" s="19">
        <f>SUM(G5:G7)</f>
        <v>1417605.48</v>
      </c>
      <c r="H4" s="19">
        <f>SUM(H5:H7)</f>
        <v>1528475.692</v>
      </c>
      <c r="I4" s="19">
        <f>H4-G4</f>
        <v>110870.21200000006</v>
      </c>
      <c r="J4" s="20">
        <f>I4/G4</f>
        <v>7.8209497327846156E-2</v>
      </c>
      <c r="L4" s="19">
        <f>SUM(L5:L7)</f>
        <v>92605.744999999995</v>
      </c>
      <c r="M4" s="19">
        <f>SUM(M5:M7)</f>
        <v>117064.803</v>
      </c>
      <c r="N4" s="19">
        <f>M4-L4</f>
        <v>24459.058000000005</v>
      </c>
      <c r="O4" s="20">
        <f>N4/L4</f>
        <v>0.2641203091665642</v>
      </c>
      <c r="Q4" s="19">
        <f>B4-G4+L4</f>
        <v>4030.4279999999562</v>
      </c>
      <c r="R4" s="19">
        <f>C4-H4+M4</f>
        <v>4417.3619999998919</v>
      </c>
      <c r="S4" s="19">
        <f>R4-Q4</f>
        <v>386.93399999993562</v>
      </c>
      <c r="T4" s="20">
        <f>S4/Q4</f>
        <v>9.6003203629971764E-2</v>
      </c>
      <c r="V4" s="100">
        <f t="shared" ref="V4:W7" si="0">Q4/B4</f>
        <v>3.0326083727867628E-3</v>
      </c>
      <c r="W4" s="100">
        <f t="shared" si="0"/>
        <v>3.1199843603063491E-3</v>
      </c>
      <c r="X4" s="100">
        <f>W4-V4</f>
        <v>8.7375987519586282E-5</v>
      </c>
    </row>
    <row r="5" spans="1:24" x14ac:dyDescent="0.2">
      <c r="A5" s="3" t="s">
        <v>31</v>
      </c>
      <c r="B5" s="13">
        <f>1036438110/1000</f>
        <v>1036438.11</v>
      </c>
      <c r="C5" s="13">
        <f>1083866032/1000</f>
        <v>1083866.0319999999</v>
      </c>
      <c r="D5" s="13">
        <f>C5-B5</f>
        <v>47427.921999999904</v>
      </c>
      <c r="E5" s="22">
        <f t="shared" ref="E5:E7" si="1">D5/B5</f>
        <v>4.5760496012636882E-2</v>
      </c>
      <c r="G5" s="13">
        <f>1126937460/1000</f>
        <v>1126937.46</v>
      </c>
      <c r="H5" s="13">
        <f>1195073453/1000</f>
        <v>1195073.453</v>
      </c>
      <c r="I5" s="13">
        <f>H5-G5</f>
        <v>68135.993000000017</v>
      </c>
      <c r="J5" s="22">
        <f t="shared" ref="J5:J7" si="2">I5/G5</f>
        <v>6.0461201635803305E-2</v>
      </c>
      <c r="L5" s="13">
        <f>94480345/1000</f>
        <v>94480.345000000001</v>
      </c>
      <c r="M5" s="13">
        <f>115596872/1000</f>
        <v>115596.872</v>
      </c>
      <c r="N5" s="13">
        <f>M5-L5</f>
        <v>21116.527000000002</v>
      </c>
      <c r="O5" s="22">
        <f t="shared" ref="O5:O7" si="3">N5/L5</f>
        <v>0.22350179817823487</v>
      </c>
      <c r="Q5" s="13">
        <f>B5-G5+L5</f>
        <v>3980.9950000000244</v>
      </c>
      <c r="R5" s="13">
        <f>C5-H5+M5</f>
        <v>4389.4509999999136</v>
      </c>
      <c r="S5" s="13">
        <f>R5-Q5</f>
        <v>408.45599999988917</v>
      </c>
      <c r="T5" s="22">
        <f>S5/Q5</f>
        <v>0.10260148530703672</v>
      </c>
      <c r="V5" s="101">
        <f t="shared" si="0"/>
        <v>3.8410349461194789E-3</v>
      </c>
      <c r="W5" s="101">
        <f t="shared" si="0"/>
        <v>4.0498095432516647E-3</v>
      </c>
      <c r="X5" s="105">
        <f t="shared" ref="X5:X7" si="4">W5-V5</f>
        <v>2.0877459713218582E-4</v>
      </c>
    </row>
    <row r="6" spans="1:24" x14ac:dyDescent="0.2">
      <c r="A6" s="3" t="s">
        <v>32</v>
      </c>
      <c r="B6" s="13">
        <f>81701931/1000</f>
        <v>81701.930999999997</v>
      </c>
      <c r="C6" s="13">
        <f>83573193/1000</f>
        <v>83573.192999999999</v>
      </c>
      <c r="D6" s="13">
        <f>C6-B6</f>
        <v>1871.2620000000024</v>
      </c>
      <c r="E6" s="22">
        <f t="shared" si="1"/>
        <v>2.2903522316993982E-2</v>
      </c>
      <c r="G6" s="13">
        <f>77968241/1000</f>
        <v>77968.240999999995</v>
      </c>
      <c r="H6" s="13">
        <f>86914735/1000</f>
        <v>86914.735000000001</v>
      </c>
      <c r="I6" s="13">
        <f>H6-G6</f>
        <v>8946.4940000000061</v>
      </c>
      <c r="J6" s="22">
        <f t="shared" si="2"/>
        <v>0.11474536151200342</v>
      </c>
      <c r="L6" s="13">
        <f>-3684600/1000</f>
        <v>-3684.6</v>
      </c>
      <c r="M6" s="13">
        <f>3369931/1000</f>
        <v>3369.931</v>
      </c>
      <c r="N6" s="13">
        <f>M6-L6</f>
        <v>7054.5309999999999</v>
      </c>
      <c r="O6" s="22">
        <f t="shared" si="3"/>
        <v>-1.9145988709764967</v>
      </c>
      <c r="Q6" s="13">
        <f t="shared" ref="Q6:Q7" si="5">B6-G6+L6</f>
        <v>49.090000000002419</v>
      </c>
      <c r="R6" s="13">
        <f t="shared" ref="R6:R7" si="6">C6-H6+M6</f>
        <v>28.388999999998759</v>
      </c>
      <c r="S6" s="13">
        <f t="shared" ref="S6:S7" si="7">R6-Q6</f>
        <v>-20.70100000000366</v>
      </c>
      <c r="T6" s="22">
        <f t="shared" ref="T6:T7" si="8">S6/Q6</f>
        <v>-0.42169484620090936</v>
      </c>
      <c r="V6" s="101">
        <f t="shared" si="0"/>
        <v>6.0084259208025839E-4</v>
      </c>
      <c r="W6" s="101">
        <f t="shared" si="0"/>
        <v>3.396902640778456E-4</v>
      </c>
      <c r="X6" s="105">
        <f t="shared" si="4"/>
        <v>-2.6115232800241278E-4</v>
      </c>
    </row>
    <row r="7" spans="1:24" x14ac:dyDescent="0.2">
      <c r="A7" s="3" t="s">
        <v>33</v>
      </c>
      <c r="B7" s="24">
        <f>210890122/1000</f>
        <v>210890.122</v>
      </c>
      <c r="C7" s="24">
        <f>248389026/1000</f>
        <v>248389.02600000001</v>
      </c>
      <c r="D7" s="13">
        <f>C7-B7</f>
        <v>37498.90400000001</v>
      </c>
      <c r="E7" s="22">
        <f t="shared" si="1"/>
        <v>0.17781251982963911</v>
      </c>
      <c r="G7" s="24">
        <f>(182892871+27378727+2428181)/1000</f>
        <v>212699.77900000001</v>
      </c>
      <c r="H7" s="24">
        <f>(212574457+32822328+1090719)/1000</f>
        <v>246487.50399999999</v>
      </c>
      <c r="I7" s="13">
        <f>H7-G7</f>
        <v>33787.724999999977</v>
      </c>
      <c r="J7" s="22">
        <f t="shared" si="2"/>
        <v>0.15885171653140259</v>
      </c>
      <c r="K7" s="9"/>
      <c r="L7" s="24">
        <v>1810</v>
      </c>
      <c r="M7" s="24">
        <v>-1902</v>
      </c>
      <c r="N7" s="13">
        <f>M7-L7</f>
        <v>-3712</v>
      </c>
      <c r="O7" s="22">
        <f t="shared" si="3"/>
        <v>-2.050828729281768</v>
      </c>
      <c r="Q7" s="13">
        <f t="shared" si="5"/>
        <v>0.34299999999348074</v>
      </c>
      <c r="R7" s="13">
        <f t="shared" si="6"/>
        <v>-0.47799999997369014</v>
      </c>
      <c r="S7" s="13">
        <f t="shared" si="7"/>
        <v>-0.82099999996717088</v>
      </c>
      <c r="T7" s="22">
        <f t="shared" si="8"/>
        <v>-2.3935860057806861</v>
      </c>
      <c r="V7" s="101">
        <f t="shared" si="0"/>
        <v>1.6264393834125656E-6</v>
      </c>
      <c r="W7" s="101">
        <f t="shared" si="0"/>
        <v>-1.924400637464918E-6</v>
      </c>
      <c r="X7" s="105">
        <f t="shared" si="4"/>
        <v>-3.5508400208774836E-6</v>
      </c>
    </row>
    <row r="8" spans="1:24" x14ac:dyDescent="0.2">
      <c r="A8" s="16"/>
      <c r="C8" s="15"/>
      <c r="D8" s="15"/>
      <c r="E8" s="15"/>
      <c r="R8" s="15"/>
      <c r="S8" s="15"/>
      <c r="T8" s="17"/>
      <c r="W8" s="15"/>
    </row>
    <row r="9" spans="1:24" x14ac:dyDescent="0.2">
      <c r="A9" s="11" t="s">
        <v>35</v>
      </c>
      <c r="C9" s="14"/>
      <c r="D9" s="14"/>
      <c r="E9" s="14"/>
      <c r="G9" s="57"/>
      <c r="H9" s="57"/>
      <c r="I9" s="57"/>
      <c r="J9" s="57"/>
      <c r="L9" s="57"/>
      <c r="M9" s="57"/>
      <c r="N9" s="57"/>
      <c r="O9" s="57"/>
      <c r="R9" s="14"/>
      <c r="S9" s="14"/>
      <c r="W9" s="14"/>
    </row>
    <row r="10" spans="1:24" s="3" customFormat="1" x14ac:dyDescent="0.2">
      <c r="A10" s="3" t="s">
        <v>43</v>
      </c>
      <c r="B10" s="21"/>
      <c r="C10" s="21"/>
      <c r="D10" s="21"/>
      <c r="E10" s="21"/>
      <c r="H10" s="64"/>
      <c r="Q10" s="21">
        <f t="shared" ref="Q10:R15" si="9">B10-G10</f>
        <v>0</v>
      </c>
      <c r="R10" s="21">
        <f t="shared" si="9"/>
        <v>0</v>
      </c>
      <c r="S10" s="21"/>
      <c r="T10" s="22"/>
      <c r="V10" s="21"/>
      <c r="W10" s="21"/>
      <c r="X10" s="22"/>
    </row>
    <row r="11" spans="1:24" s="3" customFormat="1" x14ac:dyDescent="0.2">
      <c r="A11" s="3" t="s">
        <v>167</v>
      </c>
      <c r="B11" s="23"/>
      <c r="C11" s="23"/>
      <c r="D11" s="23"/>
      <c r="E11" s="23"/>
      <c r="H11" s="64"/>
      <c r="Q11" s="21">
        <f t="shared" si="9"/>
        <v>0</v>
      </c>
      <c r="R11" s="21">
        <f t="shared" si="9"/>
        <v>0</v>
      </c>
      <c r="S11" s="23"/>
      <c r="T11" s="22"/>
      <c r="V11" s="23"/>
      <c r="W11" s="23"/>
      <c r="X11" s="22"/>
    </row>
    <row r="12" spans="1:24" s="3" customFormat="1" x14ac:dyDescent="0.2">
      <c r="A12" s="3" t="s">
        <v>168</v>
      </c>
      <c r="B12" s="21"/>
      <c r="C12" s="21"/>
      <c r="D12" s="21"/>
      <c r="E12" s="21"/>
      <c r="H12" s="64"/>
      <c r="Q12" s="21">
        <f t="shared" si="9"/>
        <v>0</v>
      </c>
      <c r="R12" s="21">
        <f t="shared" si="9"/>
        <v>0</v>
      </c>
      <c r="S12" s="21"/>
      <c r="T12" s="22"/>
      <c r="V12" s="21"/>
      <c r="W12" s="21"/>
      <c r="X12" s="22"/>
    </row>
    <row r="13" spans="1:24" s="3" customFormat="1" x14ac:dyDescent="0.2">
      <c r="A13" s="3" t="s">
        <v>46</v>
      </c>
      <c r="B13" s="21"/>
      <c r="C13" s="21"/>
      <c r="D13" s="21"/>
      <c r="E13" s="21"/>
      <c r="H13" s="64"/>
      <c r="Q13" s="21">
        <f t="shared" si="9"/>
        <v>0</v>
      </c>
      <c r="R13" s="21">
        <f t="shared" si="9"/>
        <v>0</v>
      </c>
      <c r="S13" s="21"/>
      <c r="T13" s="22"/>
      <c r="V13" s="21"/>
      <c r="W13" s="21"/>
      <c r="X13" s="22"/>
    </row>
    <row r="14" spans="1:24" s="3" customFormat="1" x14ac:dyDescent="0.2">
      <c r="A14" s="3" t="s">
        <v>47</v>
      </c>
      <c r="B14" s="21"/>
      <c r="C14" s="21"/>
      <c r="D14" s="21"/>
      <c r="E14" s="21"/>
      <c r="H14" s="64"/>
      <c r="Q14" s="21">
        <f t="shared" si="9"/>
        <v>0</v>
      </c>
      <c r="R14" s="21">
        <f t="shared" si="9"/>
        <v>0</v>
      </c>
      <c r="S14" s="21"/>
      <c r="T14" s="22"/>
      <c r="V14" s="21"/>
      <c r="W14" s="21"/>
      <c r="X14" s="22"/>
    </row>
    <row r="15" spans="1:24" s="3" customFormat="1" x14ac:dyDescent="0.2">
      <c r="A15" s="3" t="s">
        <v>48</v>
      </c>
      <c r="B15" s="21"/>
      <c r="C15" s="21"/>
      <c r="D15" s="21"/>
      <c r="E15" s="21"/>
      <c r="H15" s="21"/>
      <c r="Q15" s="21">
        <f t="shared" si="9"/>
        <v>0</v>
      </c>
      <c r="R15" s="21">
        <f t="shared" si="9"/>
        <v>0</v>
      </c>
      <c r="S15" s="21"/>
      <c r="T15" s="22"/>
      <c r="V15" s="21"/>
      <c r="W15" s="21"/>
      <c r="X15" s="22"/>
    </row>
    <row r="16" spans="1:24" s="3" customFormat="1" x14ac:dyDescent="0.2">
      <c r="A16" s="3" t="s">
        <v>169</v>
      </c>
      <c r="B16" s="21"/>
      <c r="C16" s="21"/>
      <c r="D16" s="21"/>
      <c r="E16" s="21"/>
      <c r="H16" s="64"/>
      <c r="Q16" s="21">
        <f t="shared" ref="Q16:R18" si="10">B16-G16</f>
        <v>0</v>
      </c>
      <c r="R16" s="21">
        <f t="shared" si="10"/>
        <v>0</v>
      </c>
      <c r="S16" s="21"/>
      <c r="T16" s="22"/>
      <c r="V16" s="21"/>
      <c r="W16" s="21"/>
      <c r="X16" s="22"/>
    </row>
    <row r="17" spans="1:24" s="3" customFormat="1" x14ac:dyDescent="0.2">
      <c r="A17" s="3" t="s">
        <v>50</v>
      </c>
      <c r="B17" s="21"/>
      <c r="C17" s="21"/>
      <c r="D17" s="21"/>
      <c r="E17" s="21"/>
      <c r="H17" s="64"/>
      <c r="Q17" s="21">
        <f t="shared" si="10"/>
        <v>0</v>
      </c>
      <c r="R17" s="21">
        <f t="shared" si="10"/>
        <v>0</v>
      </c>
      <c r="S17" s="21"/>
      <c r="T17" s="22"/>
      <c r="V17" s="21"/>
      <c r="W17" s="21"/>
      <c r="X17" s="22"/>
    </row>
    <row r="18" spans="1:24" s="3" customFormat="1" x14ac:dyDescent="0.2">
      <c r="A18" s="3" t="s">
        <v>51</v>
      </c>
      <c r="B18" s="21"/>
      <c r="C18" s="21"/>
      <c r="D18" s="21"/>
      <c r="E18" s="21"/>
      <c r="H18" s="64"/>
      <c r="Q18" s="21">
        <f t="shared" si="10"/>
        <v>0</v>
      </c>
      <c r="R18" s="21">
        <f t="shared" si="10"/>
        <v>0</v>
      </c>
      <c r="S18" s="21"/>
      <c r="T18" s="22"/>
      <c r="V18" s="21"/>
      <c r="W18" s="21"/>
      <c r="X18" s="22"/>
    </row>
    <row r="19" spans="1:24" s="3" customFormat="1" x14ac:dyDescent="0.2">
      <c r="A19" s="3" t="s">
        <v>52</v>
      </c>
      <c r="B19" s="21"/>
      <c r="C19" s="21"/>
      <c r="D19" s="21"/>
      <c r="E19" s="21"/>
      <c r="H19" s="64"/>
      <c r="Q19" s="21">
        <f t="shared" ref="Q19:R25" si="11">B19-G19</f>
        <v>0</v>
      </c>
      <c r="R19" s="21">
        <f t="shared" si="11"/>
        <v>0</v>
      </c>
      <c r="S19" s="21"/>
      <c r="T19" s="22"/>
      <c r="V19" s="21"/>
      <c r="W19" s="21"/>
      <c r="X19" s="22"/>
    </row>
    <row r="20" spans="1:24" s="3" customFormat="1" x14ac:dyDescent="0.2">
      <c r="A20" s="3" t="s">
        <v>53</v>
      </c>
      <c r="B20" s="21"/>
      <c r="C20" s="21"/>
      <c r="D20" s="21"/>
      <c r="E20" s="21"/>
      <c r="H20" s="64"/>
      <c r="Q20" s="21">
        <f t="shared" si="11"/>
        <v>0</v>
      </c>
      <c r="R20" s="21">
        <f t="shared" si="11"/>
        <v>0</v>
      </c>
      <c r="S20" s="21"/>
      <c r="T20" s="22"/>
      <c r="V20" s="21"/>
      <c r="W20" s="21"/>
      <c r="X20" s="22"/>
    </row>
    <row r="21" spans="1:24" s="3" customFormat="1" x14ac:dyDescent="0.2">
      <c r="A21" s="3" t="s">
        <v>54</v>
      </c>
      <c r="B21" s="21"/>
      <c r="C21" s="21"/>
      <c r="D21" s="21"/>
      <c r="E21" s="21"/>
      <c r="H21" s="21"/>
      <c r="Q21" s="21">
        <f t="shared" si="11"/>
        <v>0</v>
      </c>
      <c r="R21" s="21">
        <f t="shared" si="11"/>
        <v>0</v>
      </c>
      <c r="S21" s="21"/>
      <c r="T21" s="22"/>
      <c r="V21" s="21"/>
      <c r="W21" s="21"/>
      <c r="X21" s="22"/>
    </row>
    <row r="22" spans="1:24" s="3" customFormat="1" x14ac:dyDescent="0.2">
      <c r="A22" s="3" t="s">
        <v>55</v>
      </c>
      <c r="B22" s="21"/>
      <c r="C22" s="21"/>
      <c r="D22" s="21"/>
      <c r="E22" s="21"/>
      <c r="H22" s="64"/>
      <c r="Q22" s="21">
        <f t="shared" si="11"/>
        <v>0</v>
      </c>
      <c r="R22" s="21">
        <f t="shared" si="11"/>
        <v>0</v>
      </c>
      <c r="S22" s="21"/>
      <c r="T22" s="22"/>
      <c r="V22" s="21"/>
      <c r="W22" s="21"/>
      <c r="X22" s="22"/>
    </row>
    <row r="23" spans="1:24" s="3" customFormat="1" x14ac:dyDescent="0.2">
      <c r="A23" s="3" t="s">
        <v>56</v>
      </c>
      <c r="B23" s="21"/>
      <c r="C23" s="21"/>
      <c r="D23" s="21"/>
      <c r="E23" s="21"/>
      <c r="H23" s="64"/>
      <c r="Q23" s="21">
        <f t="shared" si="11"/>
        <v>0</v>
      </c>
      <c r="R23" s="21">
        <f t="shared" si="11"/>
        <v>0</v>
      </c>
      <c r="S23" s="21"/>
      <c r="T23" s="22"/>
      <c r="V23" s="21"/>
      <c r="W23" s="21"/>
      <c r="X23" s="22"/>
    </row>
    <row r="24" spans="1:24" s="3" customFormat="1" x14ac:dyDescent="0.2">
      <c r="A24" s="3" t="s">
        <v>57</v>
      </c>
      <c r="B24" s="21"/>
      <c r="C24" s="21"/>
      <c r="D24" s="21"/>
      <c r="E24" s="21"/>
      <c r="H24" s="64"/>
      <c r="Q24" s="21">
        <f t="shared" si="11"/>
        <v>0</v>
      </c>
      <c r="R24" s="21">
        <f t="shared" si="11"/>
        <v>0</v>
      </c>
      <c r="S24" s="21"/>
      <c r="T24" s="22"/>
      <c r="V24" s="21"/>
      <c r="W24" s="21"/>
      <c r="X24" s="22"/>
    </row>
    <row r="25" spans="1:24" s="3" customFormat="1" x14ac:dyDescent="0.2">
      <c r="A25" s="3" t="s">
        <v>170</v>
      </c>
      <c r="B25" s="21"/>
      <c r="C25" s="21"/>
      <c r="D25" s="21"/>
      <c r="E25" s="21"/>
      <c r="H25" s="21"/>
      <c r="Q25" s="21">
        <f t="shared" si="11"/>
        <v>0</v>
      </c>
      <c r="R25" s="21">
        <f t="shared" si="11"/>
        <v>0</v>
      </c>
      <c r="S25" s="21"/>
      <c r="T25" s="22"/>
      <c r="V25" s="21"/>
      <c r="W25" s="21"/>
      <c r="X25" s="22"/>
    </row>
    <row r="26" spans="1:24" s="18" customFormat="1" ht="13.5" thickBot="1" x14ac:dyDescent="0.25">
      <c r="A26" s="33" t="s">
        <v>41</v>
      </c>
      <c r="B26" s="34">
        <f>B10+B11+B12+B13+B14+B15+B16+B17+B18+B19+B20+B21+B22+B23+B24+B25</f>
        <v>0</v>
      </c>
      <c r="C26" s="34">
        <f>C10+C11+C12+C13+C14+C15+C16+C17+C18+C19+C20+C21+C22+C23+C24+C25</f>
        <v>0</v>
      </c>
      <c r="D26" s="34"/>
      <c r="E26" s="34"/>
      <c r="F26" s="33"/>
      <c r="G26" s="34">
        <f>G10+G11+G12+G13+G14+G15+G16+G17+G18+G19+G20+G21+G22+G23+G24+G25</f>
        <v>0</v>
      </c>
      <c r="H26" s="34">
        <f>H10+H11+H12+H13+H14+H15+H16+H17+H18+H19+H20+H21+H22+H23+H24+H25</f>
        <v>0</v>
      </c>
      <c r="I26" s="34"/>
      <c r="J26" s="34"/>
      <c r="K26" s="33"/>
      <c r="L26" s="95"/>
      <c r="M26" s="95"/>
      <c r="N26" s="95"/>
      <c r="O26" s="95"/>
      <c r="P26" s="29"/>
      <c r="Q26" s="34">
        <f>Q10+Q11+Q12+Q13+Q14+Q15+Q16+Q17+Q18+Q19+Q20+Q21+Q22+Q23+Q24+Q25</f>
        <v>0</v>
      </c>
      <c r="R26" s="34">
        <f>R10+R11+R12+R13+R14+R15+R16+R17+R18+R19+R20+R21+R22+R23+R24+R25</f>
        <v>0</v>
      </c>
      <c r="S26" s="34"/>
      <c r="T26" s="35"/>
      <c r="U26" s="33"/>
      <c r="V26" s="34"/>
      <c r="W26" s="34"/>
      <c r="X26" s="35"/>
    </row>
    <row r="27" spans="1:24" x14ac:dyDescent="0.2"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24" x14ac:dyDescent="0.2">
      <c r="A28" s="1"/>
    </row>
  </sheetData>
  <mergeCells count="5">
    <mergeCell ref="Q1:T1"/>
    <mergeCell ref="B1:E1"/>
    <mergeCell ref="G1:J1"/>
    <mergeCell ref="V1:X1"/>
    <mergeCell ref="L1:O1"/>
  </mergeCells>
  <printOptions gridLines="1"/>
  <pageMargins left="0.7" right="0.7" top="0.75" bottom="0.75" header="0.3" footer="0.3"/>
  <pageSetup paperSize="5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Normal="100" workbookViewId="0">
      <pane xSplit="1" ySplit="3" topLeftCell="B4" activePane="bottomRight" state="frozen"/>
      <selection activeCell="C47" sqref="C47"/>
      <selection pane="topRight" activeCell="C47" sqref="C47"/>
      <selection pane="bottomLeft" activeCell="C47" sqref="C47"/>
      <selection pane="bottomRight" activeCell="D8" sqref="D8"/>
    </sheetView>
  </sheetViews>
  <sheetFormatPr defaultColWidth="8.7109375" defaultRowHeight="12.75" x14ac:dyDescent="0.2"/>
  <cols>
    <col min="1" max="1" width="27.42578125" style="788" customWidth="1"/>
    <col min="2" max="2" width="8.7109375" style="788" customWidth="1"/>
    <col min="3" max="3" width="10.85546875" style="788" bestFit="1" customWidth="1"/>
    <col min="4" max="4" width="10.85546875" style="788" customWidth="1"/>
    <col min="5" max="5" width="2.5703125" style="788" customWidth="1"/>
    <col min="6" max="6" width="10.85546875" style="788" customWidth="1"/>
    <col min="7" max="8" width="10" style="788" customWidth="1"/>
    <col min="9" max="9" width="2.5703125" style="788" customWidth="1"/>
    <col min="10" max="10" width="10.42578125" style="788" customWidth="1"/>
    <col min="11" max="12" width="8.140625" style="788" customWidth="1"/>
    <col min="13" max="14" width="2.5703125" style="788" customWidth="1"/>
    <col min="15" max="15" width="10.85546875" style="788" customWidth="1"/>
    <col min="16" max="16" width="10.85546875" style="788" bestFit="1" customWidth="1"/>
    <col min="17" max="17" width="10.85546875" style="788" customWidth="1"/>
    <col min="18" max="18" width="2.5703125" style="788" customWidth="1"/>
    <col min="19" max="20" width="10.85546875" style="788" customWidth="1"/>
    <col min="21" max="21" width="10" style="788" customWidth="1"/>
    <col min="22" max="22" width="2.5703125" style="788" customWidth="1"/>
    <col min="23" max="24" width="10.85546875" style="788" customWidth="1"/>
    <col min="25" max="25" width="8.140625" style="788" customWidth="1"/>
    <col min="26" max="26" width="2.5703125" style="788" customWidth="1"/>
    <col min="27" max="16384" width="8.7109375" style="788"/>
  </cols>
  <sheetData>
    <row r="1" spans="1:25" ht="13.5" thickBot="1" x14ac:dyDescent="0.25">
      <c r="B1" s="864" t="s">
        <v>1359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O1" s="864" t="s">
        <v>1366</v>
      </c>
      <c r="P1" s="864"/>
      <c r="Q1" s="864"/>
      <c r="R1" s="864"/>
      <c r="S1" s="864"/>
      <c r="T1" s="864"/>
      <c r="U1" s="864"/>
      <c r="V1" s="864"/>
      <c r="W1" s="864"/>
      <c r="X1" s="864"/>
      <c r="Y1" s="864"/>
    </row>
    <row r="2" spans="1:25" ht="50.1" customHeight="1" x14ac:dyDescent="0.2">
      <c r="A2" s="794" t="s">
        <v>1358</v>
      </c>
      <c r="B2" s="868" t="s">
        <v>1360</v>
      </c>
      <c r="C2" s="868"/>
      <c r="D2" s="868"/>
      <c r="F2" s="870" t="s">
        <v>1361</v>
      </c>
      <c r="G2" s="870"/>
      <c r="H2" s="870"/>
      <c r="J2" s="873" t="s">
        <v>1362</v>
      </c>
      <c r="K2" s="870"/>
      <c r="L2" s="870"/>
      <c r="O2" s="868" t="s">
        <v>1367</v>
      </c>
      <c r="P2" s="868"/>
      <c r="Q2" s="868"/>
      <c r="S2" s="870" t="s">
        <v>1368</v>
      </c>
      <c r="T2" s="870"/>
      <c r="U2" s="870"/>
      <c r="W2" s="873" t="s">
        <v>1369</v>
      </c>
      <c r="X2" s="870"/>
      <c r="Y2" s="870"/>
    </row>
    <row r="3" spans="1:25" ht="38.25" x14ac:dyDescent="0.2">
      <c r="B3" s="793" t="s">
        <v>1363</v>
      </c>
      <c r="C3" s="793" t="s">
        <v>1364</v>
      </c>
      <c r="D3" s="793" t="s">
        <v>474</v>
      </c>
      <c r="F3" s="793" t="s">
        <v>1363</v>
      </c>
      <c r="G3" s="793" t="s">
        <v>1364</v>
      </c>
      <c r="H3" s="793" t="s">
        <v>474</v>
      </c>
      <c r="J3" s="793" t="s">
        <v>1363</v>
      </c>
      <c r="K3" s="793" t="s">
        <v>1364</v>
      </c>
      <c r="L3" s="793" t="s">
        <v>474</v>
      </c>
      <c r="O3" s="793" t="s">
        <v>1370</v>
      </c>
      <c r="P3" s="793" t="s">
        <v>1371</v>
      </c>
      <c r="Q3" s="793" t="s">
        <v>474</v>
      </c>
      <c r="S3" s="793" t="s">
        <v>1370</v>
      </c>
      <c r="T3" s="793" t="s">
        <v>1371</v>
      </c>
      <c r="U3" s="793" t="s">
        <v>474</v>
      </c>
      <c r="W3" s="793" t="s">
        <v>1370</v>
      </c>
      <c r="X3" s="793" t="s">
        <v>1371</v>
      </c>
      <c r="Y3" s="793" t="s">
        <v>474</v>
      </c>
    </row>
    <row r="4" spans="1:25" x14ac:dyDescent="0.2">
      <c r="A4" s="11" t="s">
        <v>1365</v>
      </c>
      <c r="B4" s="29"/>
      <c r="F4" s="29"/>
      <c r="J4" s="29"/>
      <c r="O4" s="29"/>
      <c r="S4" s="29"/>
      <c r="W4" s="29"/>
    </row>
    <row r="5" spans="1:25" s="794" customFormat="1" x14ac:dyDescent="0.2">
      <c r="A5" s="794" t="s">
        <v>30</v>
      </c>
      <c r="B5" s="20">
        <v>0.82</v>
      </c>
      <c r="C5" s="302">
        <f>B5+0.05</f>
        <v>0.87</v>
      </c>
      <c r="D5" s="302">
        <f>C5-B5</f>
        <v>5.0000000000000044E-2</v>
      </c>
      <c r="F5" s="20">
        <v>0.78</v>
      </c>
      <c r="G5" s="302">
        <f>F5+0.05</f>
        <v>0.83000000000000007</v>
      </c>
      <c r="H5" s="302">
        <f>G5-F5</f>
        <v>5.0000000000000044E-2</v>
      </c>
      <c r="J5" s="20">
        <v>0.72</v>
      </c>
      <c r="K5" s="302">
        <f>J5+0.05</f>
        <v>0.77</v>
      </c>
      <c r="L5" s="302">
        <f>K5-J5</f>
        <v>5.0000000000000044E-2</v>
      </c>
      <c r="O5" s="20">
        <v>0.84599999999999997</v>
      </c>
      <c r="P5" s="302">
        <v>0.95299999999999996</v>
      </c>
      <c r="Q5" s="302">
        <f>P5-O5</f>
        <v>0.10699999999999998</v>
      </c>
      <c r="S5" s="20">
        <v>0.75600000000000001</v>
      </c>
      <c r="T5" s="302">
        <v>0.72899999999999998</v>
      </c>
      <c r="U5" s="302">
        <f>T5-S5</f>
        <v>-2.7000000000000024E-2</v>
      </c>
      <c r="W5" s="20">
        <v>0.52600000000000002</v>
      </c>
      <c r="X5" s="302">
        <v>0.44700000000000001</v>
      </c>
      <c r="Y5" s="302">
        <f>X5-W5</f>
        <v>-7.9000000000000015E-2</v>
      </c>
    </row>
    <row r="7" spans="1:25" x14ac:dyDescent="0.2">
      <c r="P7" s="789" t="s">
        <v>610</v>
      </c>
      <c r="T7" s="789" t="s">
        <v>610</v>
      </c>
      <c r="X7" s="789" t="s">
        <v>610</v>
      </c>
    </row>
    <row r="8" spans="1:25" x14ac:dyDescent="0.2">
      <c r="P8" s="830">
        <f>O5+0.05</f>
        <v>0.89600000000000002</v>
      </c>
      <c r="T8" s="830">
        <f>S5+0.05</f>
        <v>0.80600000000000005</v>
      </c>
      <c r="X8" s="830">
        <f>W5+0.05</f>
        <v>0.57600000000000007</v>
      </c>
    </row>
  </sheetData>
  <mergeCells count="8">
    <mergeCell ref="B1:L1"/>
    <mergeCell ref="O1:Y1"/>
    <mergeCell ref="O2:Q2"/>
    <mergeCell ref="S2:U2"/>
    <mergeCell ref="W2:Y2"/>
    <mergeCell ref="B2:D2"/>
    <mergeCell ref="F2:H2"/>
    <mergeCell ref="J2:L2"/>
  </mergeCells>
  <printOptions gridLines="1"/>
  <pageMargins left="0.7" right="0.7" top="0.75" bottom="0.75" header="0.3" footer="0.3"/>
  <pageSetup paperSize="5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"/>
  <sheetViews>
    <sheetView zoomScaleNormal="100" workbookViewId="0">
      <selection activeCell="E10" sqref="E10"/>
    </sheetView>
  </sheetViews>
  <sheetFormatPr defaultColWidth="8.7109375" defaultRowHeight="12.75" x14ac:dyDescent="0.2"/>
  <cols>
    <col min="1" max="1" width="15.85546875" style="2" customWidth="1"/>
    <col min="2" max="2" width="15.85546875" style="2" hidden="1" customWidth="1"/>
    <col min="3" max="3" width="49.85546875" style="2" customWidth="1"/>
    <col min="4" max="4" width="54.42578125" style="2" customWidth="1"/>
    <col min="5" max="5" width="25.28515625" style="2" customWidth="1"/>
    <col min="6" max="6" width="42.140625" style="2" bestFit="1" customWidth="1"/>
    <col min="7" max="7" width="8.7109375" style="9"/>
    <col min="8" max="16384" width="8.7109375" style="2"/>
  </cols>
  <sheetData>
    <row r="1" spans="1:7" ht="15" x14ac:dyDescent="0.25">
      <c r="A1" s="4" t="s">
        <v>1283</v>
      </c>
      <c r="B1" s="4"/>
      <c r="C1" s="5"/>
      <c r="D1" s="5"/>
      <c r="E1" s="10"/>
    </row>
    <row r="2" spans="1:7" ht="15.75" thickBot="1" x14ac:dyDescent="0.3">
      <c r="A2" s="5"/>
      <c r="B2" s="5"/>
      <c r="C2" s="5"/>
      <c r="D2" s="5"/>
      <c r="E2" s="5"/>
    </row>
    <row r="3" spans="1:7" ht="15.75" customHeight="1" thickBot="1" x14ac:dyDescent="0.3">
      <c r="A3" s="110" t="s">
        <v>0</v>
      </c>
      <c r="B3" s="110" t="s">
        <v>314</v>
      </c>
      <c r="C3" s="8" t="s">
        <v>5</v>
      </c>
      <c r="D3" s="111" t="s">
        <v>561</v>
      </c>
      <c r="E3" s="112" t="s">
        <v>316</v>
      </c>
    </row>
    <row r="4" spans="1:7" ht="15" x14ac:dyDescent="0.25">
      <c r="A4" s="841"/>
      <c r="B4" s="115"/>
      <c r="C4" s="877" t="s">
        <v>317</v>
      </c>
      <c r="D4" s="117" t="s">
        <v>533</v>
      </c>
      <c r="E4" s="118">
        <v>3312</v>
      </c>
      <c r="F4" s="3"/>
    </row>
    <row r="5" spans="1:7" ht="15" x14ac:dyDescent="0.25">
      <c r="A5" s="841"/>
      <c r="B5" s="115"/>
      <c r="C5" s="877"/>
      <c r="D5" s="117" t="s">
        <v>534</v>
      </c>
      <c r="E5" s="118">
        <v>1650</v>
      </c>
      <c r="F5" s="3"/>
    </row>
    <row r="6" spans="1:7" ht="15" x14ac:dyDescent="0.25">
      <c r="A6" s="841"/>
      <c r="B6" s="115"/>
      <c r="C6" s="877"/>
      <c r="D6" s="117" t="s">
        <v>538</v>
      </c>
      <c r="E6" s="118">
        <v>700</v>
      </c>
      <c r="F6" s="3"/>
    </row>
    <row r="7" spans="1:7" ht="15.75" thickBot="1" x14ac:dyDescent="0.3">
      <c r="A7" s="841"/>
      <c r="B7" s="115"/>
      <c r="C7" s="877"/>
      <c r="D7" s="824" t="s">
        <v>541</v>
      </c>
      <c r="E7" s="149">
        <v>1443</v>
      </c>
    </row>
    <row r="8" spans="1:7" ht="15" x14ac:dyDescent="0.25">
      <c r="A8" s="841"/>
      <c r="B8" s="115"/>
      <c r="C8" s="874" t="s">
        <v>6</v>
      </c>
      <c r="D8" s="117" t="s">
        <v>1287</v>
      </c>
      <c r="E8" s="118">
        <f>'Growth Metric by Entity_Dept'!O5</f>
        <v>20712</v>
      </c>
      <c r="F8" s="3" t="s">
        <v>513</v>
      </c>
    </row>
    <row r="9" spans="1:7" ht="15" x14ac:dyDescent="0.25">
      <c r="A9" s="841"/>
      <c r="B9" s="115"/>
      <c r="C9" s="874"/>
      <c r="D9" s="117" t="s">
        <v>1288</v>
      </c>
      <c r="E9" s="118">
        <f>'Growth Metric by Entity_Dept'!O6</f>
        <v>3612</v>
      </c>
      <c r="F9" s="3" t="s">
        <v>513</v>
      </c>
    </row>
    <row r="10" spans="1:7" ht="12.75" customHeight="1" x14ac:dyDescent="0.25">
      <c r="A10" s="841"/>
      <c r="B10" s="115"/>
      <c r="C10" s="874" t="s">
        <v>15</v>
      </c>
      <c r="D10" s="119" t="s">
        <v>385</v>
      </c>
      <c r="E10" s="118">
        <f>'Growth Metric by Entity_Dept'!S11</f>
        <v>632171.18000000017</v>
      </c>
      <c r="F10" s="3" t="s">
        <v>513</v>
      </c>
      <c r="G10" s="24"/>
    </row>
    <row r="11" spans="1:7" ht="12.75" customHeight="1" thickBot="1" x14ac:dyDescent="0.3">
      <c r="A11" s="844"/>
      <c r="B11" s="115"/>
      <c r="C11" s="875"/>
      <c r="D11" s="119" t="s">
        <v>386</v>
      </c>
      <c r="E11" s="118">
        <f>'Growth Metric by Entity_Dept'!S12</f>
        <v>112584</v>
      </c>
      <c r="F11" s="3" t="s">
        <v>513</v>
      </c>
    </row>
    <row r="12" spans="1:7" ht="12.75" customHeight="1" x14ac:dyDescent="0.25">
      <c r="A12" s="840" t="s">
        <v>7</v>
      </c>
      <c r="B12" s="120"/>
      <c r="C12" s="876" t="s">
        <v>318</v>
      </c>
      <c r="D12" s="121" t="s">
        <v>319</v>
      </c>
      <c r="E12" s="399">
        <f>'Qual_Saf Metric by Entity_Dept'!F12</f>
        <v>0</v>
      </c>
      <c r="F12" s="3" t="s">
        <v>513</v>
      </c>
    </row>
    <row r="13" spans="1:7" ht="12.75" customHeight="1" x14ac:dyDescent="0.25">
      <c r="A13" s="841"/>
      <c r="B13" s="120"/>
      <c r="C13" s="874"/>
      <c r="D13" s="6" t="s">
        <v>320</v>
      </c>
      <c r="E13" s="389">
        <v>7</v>
      </c>
      <c r="F13" s="3" t="s">
        <v>513</v>
      </c>
    </row>
    <row r="14" spans="1:7" ht="12.75" customHeight="1" x14ac:dyDescent="0.25">
      <c r="A14" s="841"/>
      <c r="B14" s="120"/>
      <c r="C14" s="874"/>
      <c r="D14" s="6" t="s">
        <v>321</v>
      </c>
      <c r="E14" s="93">
        <v>3</v>
      </c>
    </row>
    <row r="15" spans="1:7" ht="12.75" customHeight="1" thickBot="1" x14ac:dyDescent="0.3">
      <c r="A15" s="841"/>
      <c r="B15" s="120"/>
      <c r="C15" s="874"/>
      <c r="D15" s="239" t="s">
        <v>537</v>
      </c>
      <c r="E15" s="94">
        <v>0</v>
      </c>
      <c r="F15" s="3"/>
      <c r="G15" s="24"/>
    </row>
    <row r="16" spans="1:7" ht="15.75" thickBot="1" x14ac:dyDescent="0.3">
      <c r="A16" s="747" t="s">
        <v>2</v>
      </c>
      <c r="B16" s="124"/>
      <c r="C16" s="748" t="s">
        <v>9</v>
      </c>
      <c r="D16" s="212" t="s">
        <v>322</v>
      </c>
      <c r="E16" s="761" t="str">
        <f>'Service Metric by Entity_Dept'!G11 &amp; "%ile"</f>
        <v>75%ile</v>
      </c>
      <c r="F16" s="3"/>
      <c r="G16" s="24"/>
    </row>
    <row r="17" spans="1:7" ht="15" x14ac:dyDescent="0.25">
      <c r="A17" s="840" t="s">
        <v>3</v>
      </c>
      <c r="B17" s="120"/>
      <c r="C17" s="758" t="s">
        <v>16</v>
      </c>
      <c r="D17" s="6" t="s">
        <v>1277</v>
      </c>
      <c r="E17" s="143">
        <v>0.51</v>
      </c>
      <c r="F17" s="3" t="s">
        <v>513</v>
      </c>
    </row>
    <row r="18" spans="1:7" ht="15" x14ac:dyDescent="0.25">
      <c r="A18" s="841"/>
      <c r="B18" s="120"/>
      <c r="C18" s="874" t="s">
        <v>323</v>
      </c>
      <c r="D18" s="6" t="s">
        <v>1280</v>
      </c>
      <c r="E18" s="143">
        <v>0.9</v>
      </c>
      <c r="F18" s="3" t="s">
        <v>513</v>
      </c>
    </row>
    <row r="19" spans="1:7" ht="15.75" thickBot="1" x14ac:dyDescent="0.3">
      <c r="A19" s="844"/>
      <c r="B19" s="120"/>
      <c r="C19" s="875"/>
      <c r="D19" s="6" t="s">
        <v>1279</v>
      </c>
      <c r="E19" s="143">
        <v>0.9</v>
      </c>
      <c r="F19" s="3" t="s">
        <v>513</v>
      </c>
      <c r="G19" s="24"/>
    </row>
    <row r="20" spans="1:7" ht="15.75" thickBot="1" x14ac:dyDescent="0.3">
      <c r="A20" s="127" t="s">
        <v>4</v>
      </c>
      <c r="B20" s="128"/>
      <c r="C20" s="129" t="s">
        <v>324</v>
      </c>
      <c r="D20" s="130" t="s">
        <v>325</v>
      </c>
      <c r="E20" s="254">
        <f>'Finance Metric by Entity_Dept'!R10</f>
        <v>0</v>
      </c>
    </row>
    <row r="21" spans="1:7" ht="15" x14ac:dyDescent="0.25">
      <c r="A21" s="131"/>
      <c r="B21" s="131"/>
      <c r="C21" s="132"/>
      <c r="D21" s="132"/>
      <c r="E21" s="133"/>
    </row>
  </sheetData>
  <mergeCells count="8">
    <mergeCell ref="C18:C19"/>
    <mergeCell ref="A17:A19"/>
    <mergeCell ref="A4:A11"/>
    <mergeCell ref="C8:C9"/>
    <mergeCell ref="C10:C11"/>
    <mergeCell ref="A12:A15"/>
    <mergeCell ref="C12:C15"/>
    <mergeCell ref="C4:C7"/>
  </mergeCells>
  <pageMargins left="0.7" right="0.7" top="0.75" bottom="0.75" header="0.3" footer="0.3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5"/>
  <sheetViews>
    <sheetView workbookViewId="0">
      <selection activeCell="F11" sqref="F11"/>
    </sheetView>
  </sheetViews>
  <sheetFormatPr defaultColWidth="8.7109375" defaultRowHeight="12.75" x14ac:dyDescent="0.2"/>
  <cols>
    <col min="1" max="1" width="17" style="2" customWidth="1"/>
    <col min="2" max="2" width="12.42578125" style="2" hidden="1" customWidth="1"/>
    <col min="3" max="3" width="48" style="2" customWidth="1"/>
    <col min="4" max="4" width="48.28515625" style="2" customWidth="1"/>
    <col min="5" max="5" width="25.42578125" style="2" customWidth="1"/>
    <col min="6" max="16384" width="8.7109375" style="2"/>
  </cols>
  <sheetData>
    <row r="1" spans="1:6" ht="18" x14ac:dyDescent="0.25">
      <c r="A1" s="135" t="s">
        <v>1284</v>
      </c>
      <c r="B1" s="135"/>
      <c r="E1" s="10"/>
    </row>
    <row r="2" spans="1:6" ht="15.75" thickBot="1" x14ac:dyDescent="0.3">
      <c r="A2" s="5"/>
      <c r="B2" s="5"/>
      <c r="C2" s="5"/>
      <c r="D2" s="5"/>
      <c r="E2" s="5"/>
    </row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" customHeight="1" x14ac:dyDescent="0.25">
      <c r="A4" s="840" t="s">
        <v>10</v>
      </c>
      <c r="B4" s="124"/>
      <c r="C4" s="114" t="s">
        <v>11</v>
      </c>
      <c r="D4" s="139" t="str">
        <f>Dermatology!D4</f>
        <v>Achieve Budgeted Clinic Visits</v>
      </c>
      <c r="E4" s="362">
        <f>SUM('Growth by Clinic Detail'!C4:C5)+SUM('Growth by Clinic Detail'!C7:C9)</f>
        <v>21703</v>
      </c>
      <c r="F4" s="3" t="s">
        <v>513</v>
      </c>
    </row>
    <row r="5" spans="1:6" ht="12.75" customHeight="1" x14ac:dyDescent="0.25">
      <c r="A5" s="841"/>
      <c r="B5" s="120"/>
      <c r="C5" s="874" t="s">
        <v>6</v>
      </c>
      <c r="D5" s="125" t="s">
        <v>326</v>
      </c>
      <c r="E5" s="118">
        <f>'Growth by Clinic Detail'!C6</f>
        <v>615</v>
      </c>
      <c r="F5" s="3" t="s">
        <v>513</v>
      </c>
    </row>
    <row r="6" spans="1:6" ht="12.75" customHeight="1" x14ac:dyDescent="0.25">
      <c r="A6" s="841"/>
      <c r="B6" s="120"/>
      <c r="C6" s="874"/>
      <c r="D6" s="125" t="s">
        <v>383</v>
      </c>
      <c r="E6" s="118">
        <f>'Growth Metric by Entity_Dept'!O13</f>
        <v>196</v>
      </c>
      <c r="F6" s="3" t="s">
        <v>513</v>
      </c>
    </row>
    <row r="7" spans="1:6" ht="13.5" customHeight="1" thickBot="1" x14ac:dyDescent="0.3">
      <c r="A7" s="844"/>
      <c r="B7" s="120"/>
      <c r="C7" s="116" t="s">
        <v>15</v>
      </c>
      <c r="D7" s="125" t="s">
        <v>539</v>
      </c>
      <c r="E7" s="118">
        <v>13626</v>
      </c>
      <c r="F7" s="3" t="s">
        <v>513</v>
      </c>
    </row>
    <row r="8" spans="1:6" ht="15.6" customHeight="1" x14ac:dyDescent="0.25">
      <c r="A8" s="840" t="s">
        <v>7</v>
      </c>
      <c r="B8" s="124"/>
      <c r="C8" s="878" t="s">
        <v>318</v>
      </c>
      <c r="D8" s="121" t="s">
        <v>327</v>
      </c>
      <c r="E8" s="140">
        <v>0.8</v>
      </c>
      <c r="F8" s="789" t="s">
        <v>513</v>
      </c>
    </row>
    <row r="9" spans="1:6" ht="15.6" customHeight="1" thickBot="1" x14ac:dyDescent="0.3">
      <c r="A9" s="844"/>
      <c r="B9" s="120"/>
      <c r="C9" s="879"/>
      <c r="D9" s="125" t="s">
        <v>328</v>
      </c>
      <c r="E9" s="141">
        <v>1</v>
      </c>
      <c r="F9" s="3" t="s">
        <v>513</v>
      </c>
    </row>
    <row r="10" spans="1:6" ht="12.75" customHeight="1" thickBot="1" x14ac:dyDescent="0.25">
      <c r="A10" s="385" t="s">
        <v>2</v>
      </c>
      <c r="B10" s="124"/>
      <c r="C10" s="386" t="s">
        <v>9</v>
      </c>
      <c r="D10" s="759" t="s">
        <v>547</v>
      </c>
      <c r="E10" s="760">
        <f>'Service Metric by Entity_Dept'!G12</f>
        <v>75</v>
      </c>
      <c r="F10" s="3" t="s">
        <v>513</v>
      </c>
    </row>
    <row r="11" spans="1:6" ht="15" x14ac:dyDescent="0.25">
      <c r="A11" s="840" t="s">
        <v>3</v>
      </c>
      <c r="B11" s="120"/>
      <c r="C11" s="758" t="s">
        <v>16</v>
      </c>
      <c r="D11" s="6" t="s">
        <v>1277</v>
      </c>
      <c r="E11" s="143">
        <v>0.51</v>
      </c>
      <c r="F11" s="3"/>
    </row>
    <row r="12" spans="1:6" ht="15" x14ac:dyDescent="0.25">
      <c r="A12" s="841"/>
      <c r="B12" s="120"/>
      <c r="C12" s="874" t="s">
        <v>323</v>
      </c>
      <c r="D12" s="6" t="s">
        <v>1280</v>
      </c>
      <c r="E12" s="143">
        <v>0.9</v>
      </c>
      <c r="F12" s="3" t="s">
        <v>513</v>
      </c>
    </row>
    <row r="13" spans="1:6" ht="15.75" thickBot="1" x14ac:dyDescent="0.3">
      <c r="A13" s="844"/>
      <c r="B13" s="120"/>
      <c r="C13" s="875"/>
      <c r="D13" s="6" t="s">
        <v>1279</v>
      </c>
      <c r="E13" s="143">
        <v>0.9</v>
      </c>
      <c r="F13" s="3" t="s">
        <v>513</v>
      </c>
    </row>
    <row r="14" spans="1:6" ht="15.6" customHeight="1" thickBot="1" x14ac:dyDescent="0.3">
      <c r="A14" s="127" t="s">
        <v>4</v>
      </c>
      <c r="B14" s="128"/>
      <c r="C14" s="129" t="s">
        <v>1</v>
      </c>
      <c r="D14" s="130" t="s">
        <v>325</v>
      </c>
      <c r="E14" s="255">
        <f>'Finance Metric by Entity_Dept'!R11</f>
        <v>0</v>
      </c>
      <c r="F14" s="3"/>
    </row>
    <row r="15" spans="1:6" ht="15" x14ac:dyDescent="0.25">
      <c r="A15" s="5"/>
      <c r="B15" s="5"/>
      <c r="C15" s="5"/>
      <c r="D15" s="5"/>
      <c r="E15" s="5"/>
    </row>
  </sheetData>
  <mergeCells count="6">
    <mergeCell ref="A11:A13"/>
    <mergeCell ref="A4:A7"/>
    <mergeCell ref="C5:C6"/>
    <mergeCell ref="A8:A9"/>
    <mergeCell ref="C8:C9"/>
    <mergeCell ref="C12:C13"/>
  </mergeCells>
  <pageMargins left="0.7" right="0.7" top="0.75" bottom="0.75" header="0.3" footer="0.3"/>
  <pageSetup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9"/>
  <sheetViews>
    <sheetView workbookViewId="0">
      <selection activeCell="D7" sqref="D7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42.7109375" style="2" customWidth="1"/>
    <col min="4" max="4" width="46.42578125" style="2" customWidth="1"/>
    <col min="5" max="5" width="28.140625" style="2" bestFit="1" customWidth="1"/>
    <col min="6" max="16384" width="8.7109375" style="2"/>
  </cols>
  <sheetData>
    <row r="1" spans="1:6" ht="18" x14ac:dyDescent="0.25">
      <c r="A1" s="135" t="s">
        <v>1306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1307</v>
      </c>
      <c r="E3" s="112" t="s">
        <v>316</v>
      </c>
    </row>
    <row r="4" spans="1:6" ht="12.75" customHeight="1" x14ac:dyDescent="0.25">
      <c r="A4" s="840" t="s">
        <v>296</v>
      </c>
      <c r="B4" s="115"/>
      <c r="C4" s="757" t="s">
        <v>11</v>
      </c>
      <c r="D4" s="52" t="s">
        <v>380</v>
      </c>
      <c r="E4" s="118">
        <f>'Growth Metric by Entity_Dept'!C14</f>
        <v>16802</v>
      </c>
      <c r="F4" s="3" t="s">
        <v>513</v>
      </c>
    </row>
    <row r="5" spans="1:6" ht="12.75" customHeight="1" thickBot="1" x14ac:dyDescent="0.3">
      <c r="A5" s="844"/>
      <c r="B5" s="147"/>
      <c r="C5" s="148" t="s">
        <v>15</v>
      </c>
      <c r="D5" s="123" t="s">
        <v>381</v>
      </c>
      <c r="E5" s="149">
        <f>'Growth Metric by Entity_Dept'!S14</f>
        <v>22695</v>
      </c>
      <c r="F5" s="3" t="s">
        <v>513</v>
      </c>
    </row>
    <row r="6" spans="1:6" ht="15.6" customHeight="1" thickBot="1" x14ac:dyDescent="0.3">
      <c r="A6" s="109" t="s">
        <v>7</v>
      </c>
      <c r="B6" s="120"/>
      <c r="C6" s="116" t="s">
        <v>318</v>
      </c>
      <c r="D6" s="125" t="s">
        <v>329</v>
      </c>
      <c r="E6" s="141">
        <v>1</v>
      </c>
      <c r="F6" s="3" t="s">
        <v>513</v>
      </c>
    </row>
    <row r="7" spans="1:6" ht="15.6" customHeight="1" thickBot="1" x14ac:dyDescent="0.3">
      <c r="A7" s="108" t="s">
        <v>2</v>
      </c>
      <c r="B7" s="108"/>
      <c r="C7" s="150" t="s">
        <v>9</v>
      </c>
      <c r="D7" s="212" t="s">
        <v>1349</v>
      </c>
      <c r="E7" s="761" t="str">
        <f>'Service Metric by Entity_Dept'!G13 &amp; "%ile"</f>
        <v>25%ile</v>
      </c>
      <c r="F7" s="3" t="s">
        <v>513</v>
      </c>
    </row>
    <row r="8" spans="1:6" ht="30" x14ac:dyDescent="0.25">
      <c r="A8" s="840" t="s">
        <v>3</v>
      </c>
      <c r="B8" s="120"/>
      <c r="C8" s="395" t="s">
        <v>16</v>
      </c>
      <c r="D8" s="6" t="s">
        <v>1277</v>
      </c>
      <c r="E8" s="143">
        <v>0.51</v>
      </c>
      <c r="F8" s="3" t="s">
        <v>513</v>
      </c>
    </row>
    <row r="9" spans="1:6" ht="15" x14ac:dyDescent="0.25">
      <c r="A9" s="841"/>
      <c r="B9" s="120"/>
      <c r="C9" s="874" t="s">
        <v>323</v>
      </c>
      <c r="D9" s="6" t="s">
        <v>1280</v>
      </c>
      <c r="E9" s="143">
        <v>0.9</v>
      </c>
      <c r="F9" s="3" t="s">
        <v>513</v>
      </c>
    </row>
    <row r="10" spans="1:6" ht="15.75" thickBot="1" x14ac:dyDescent="0.3">
      <c r="A10" s="844"/>
      <c r="B10" s="120"/>
      <c r="C10" s="875"/>
      <c r="D10" s="6" t="s">
        <v>1279</v>
      </c>
      <c r="E10" s="143">
        <v>0.9</v>
      </c>
      <c r="F10" s="3" t="s">
        <v>513</v>
      </c>
    </row>
    <row r="11" spans="1:6" ht="15.6" customHeight="1" thickBot="1" x14ac:dyDescent="0.3">
      <c r="A11" s="127" t="s">
        <v>4</v>
      </c>
      <c r="B11" s="128"/>
      <c r="C11" s="129" t="s">
        <v>1</v>
      </c>
      <c r="D11" s="130" t="s">
        <v>325</v>
      </c>
      <c r="E11" s="254">
        <f>'Finance Metric by Entity_Dept'!R12</f>
        <v>0</v>
      </c>
    </row>
    <row r="39" spans="5:5" x14ac:dyDescent="0.2">
      <c r="E39" s="38"/>
    </row>
  </sheetData>
  <mergeCells count="3">
    <mergeCell ref="A4:A5"/>
    <mergeCell ref="C9:C10"/>
    <mergeCell ref="A8:A10"/>
  </mergeCells>
  <pageMargins left="0.7" right="0.7" top="0.75" bottom="0.75" header="0.3" footer="0.3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87"/>
  <sheetViews>
    <sheetView topLeftCell="C1" zoomScale="112" zoomScaleNormal="112" workbookViewId="0">
      <selection activeCell="D20" sqref="D20:F22"/>
    </sheetView>
  </sheetViews>
  <sheetFormatPr defaultColWidth="8.7109375" defaultRowHeight="12.75" x14ac:dyDescent="0.2"/>
  <cols>
    <col min="1" max="1" width="16.28515625" style="2" customWidth="1"/>
    <col min="2" max="2" width="13.28515625" style="2" hidden="1" customWidth="1"/>
    <col min="3" max="3" width="47.85546875" style="2" customWidth="1"/>
    <col min="4" max="4" width="65.85546875" style="2" customWidth="1"/>
    <col min="5" max="5" width="22.42578125" style="2" customWidth="1"/>
    <col min="6" max="6" width="8.7109375" style="9"/>
    <col min="7" max="16384" width="8.7109375" style="2"/>
  </cols>
  <sheetData>
    <row r="1" spans="1:6" ht="18" x14ac:dyDescent="0.25">
      <c r="A1" s="135" t="s">
        <v>1291</v>
      </c>
      <c r="B1" s="135"/>
      <c r="E1" s="10"/>
    </row>
    <row r="2" spans="1:6" ht="13.5" thickBot="1" x14ac:dyDescent="0.25"/>
    <row r="3" spans="1:6" ht="12.75" customHeight="1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5">
      <c r="A4" s="840" t="s">
        <v>10</v>
      </c>
      <c r="B4" s="152"/>
      <c r="C4" s="381" t="s">
        <v>11</v>
      </c>
      <c r="D4" s="153" t="s">
        <v>518</v>
      </c>
      <c r="E4" s="122">
        <v>300</v>
      </c>
    </row>
    <row r="5" spans="1:6" ht="15.6" customHeight="1" x14ac:dyDescent="0.25">
      <c r="A5" s="841"/>
      <c r="B5" s="154"/>
      <c r="C5" s="877" t="s">
        <v>317</v>
      </c>
      <c r="D5" s="382" t="s">
        <v>171</v>
      </c>
      <c r="E5" s="142" t="s">
        <v>1292</v>
      </c>
      <c r="F5" s="10" t="s">
        <v>513</v>
      </c>
    </row>
    <row r="6" spans="1:6" ht="15.6" customHeight="1" x14ac:dyDescent="0.25">
      <c r="A6" s="841"/>
      <c r="B6" s="154"/>
      <c r="C6" s="877"/>
      <c r="D6" s="153" t="s">
        <v>519</v>
      </c>
      <c r="E6" s="142">
        <v>60</v>
      </c>
      <c r="F6" s="10" t="s">
        <v>513</v>
      </c>
    </row>
    <row r="7" spans="1:6" ht="15.6" customHeight="1" x14ac:dyDescent="0.25">
      <c r="A7" s="841"/>
      <c r="B7" s="154"/>
      <c r="C7" s="874" t="s">
        <v>15</v>
      </c>
      <c r="D7" s="125" t="str">
        <f>Anesthesiology!D10</f>
        <v>Achieve budgeted  wRVUs - UNMH</v>
      </c>
      <c r="E7" s="155">
        <f>'Growth Metric by Entity_Dept'!S16</f>
        <v>237390</v>
      </c>
      <c r="F7" s="10" t="s">
        <v>513</v>
      </c>
    </row>
    <row r="8" spans="1:6" ht="15.6" customHeight="1" thickBot="1" x14ac:dyDescent="0.3">
      <c r="A8" s="844"/>
      <c r="B8" s="154"/>
      <c r="C8" s="875"/>
      <c r="D8" s="125" t="str">
        <f>Anesthesiology!D11</f>
        <v>Achieve budgeted wRVUs - SRMC</v>
      </c>
      <c r="E8" s="155">
        <f>'Growth Metric by Entity_Dept'!S17</f>
        <v>54787</v>
      </c>
      <c r="F8" s="10" t="s">
        <v>513</v>
      </c>
    </row>
    <row r="9" spans="1:6" ht="15.6" customHeight="1" thickBot="1" x14ac:dyDescent="0.3">
      <c r="A9" s="840" t="s">
        <v>7</v>
      </c>
      <c r="B9" s="152"/>
      <c r="C9" s="114" t="s">
        <v>330</v>
      </c>
      <c r="D9" s="383" t="s">
        <v>520</v>
      </c>
      <c r="E9" s="387" t="s">
        <v>521</v>
      </c>
      <c r="F9" s="3" t="s">
        <v>513</v>
      </c>
    </row>
    <row r="10" spans="1:6" ht="15.6" customHeight="1" thickBot="1" x14ac:dyDescent="0.3">
      <c r="A10" s="841"/>
      <c r="B10" s="152"/>
      <c r="C10" s="874" t="s">
        <v>336</v>
      </c>
      <c r="D10" s="743" t="s">
        <v>344</v>
      </c>
      <c r="E10" s="744">
        <v>1</v>
      </c>
      <c r="F10" s="46"/>
    </row>
    <row r="11" spans="1:6" ht="15.6" customHeight="1" thickBot="1" x14ac:dyDescent="0.3">
      <c r="A11" s="841"/>
      <c r="B11" s="152"/>
      <c r="C11" s="874"/>
      <c r="D11" s="743" t="s">
        <v>338</v>
      </c>
      <c r="E11" s="744">
        <v>5</v>
      </c>
      <c r="F11" s="46"/>
    </row>
    <row r="12" spans="1:6" ht="15.6" customHeight="1" thickBot="1" x14ac:dyDescent="0.3">
      <c r="A12" s="841"/>
      <c r="B12" s="152"/>
      <c r="C12" s="874"/>
      <c r="D12" s="743" t="s">
        <v>339</v>
      </c>
      <c r="E12" s="744">
        <v>3</v>
      </c>
      <c r="F12" s="46"/>
    </row>
    <row r="13" spans="1:6" ht="15.6" customHeight="1" thickBot="1" x14ac:dyDescent="0.3">
      <c r="A13" s="841"/>
      <c r="B13" s="152"/>
      <c r="C13" s="874" t="s">
        <v>345</v>
      </c>
      <c r="D13" s="743" t="s">
        <v>319</v>
      </c>
      <c r="E13" s="744">
        <v>1</v>
      </c>
      <c r="F13" s="46"/>
    </row>
    <row r="14" spans="1:6" ht="15.6" customHeight="1" thickBot="1" x14ac:dyDescent="0.3">
      <c r="A14" s="841"/>
      <c r="B14" s="152"/>
      <c r="C14" s="874"/>
      <c r="D14" s="743" t="s">
        <v>346</v>
      </c>
      <c r="E14" s="744">
        <v>1</v>
      </c>
      <c r="F14" s="46"/>
    </row>
    <row r="15" spans="1:6" ht="15.6" customHeight="1" thickBot="1" x14ac:dyDescent="0.3">
      <c r="A15" s="844"/>
      <c r="B15" s="152"/>
      <c r="C15" s="875"/>
      <c r="D15" s="742" t="s">
        <v>347</v>
      </c>
      <c r="E15" s="744">
        <v>3</v>
      </c>
      <c r="F15" s="46"/>
    </row>
    <row r="16" spans="1:6" ht="15.6" customHeight="1" thickBot="1" x14ac:dyDescent="0.3">
      <c r="A16" s="380" t="s">
        <v>2</v>
      </c>
      <c r="B16" s="152"/>
      <c r="C16" s="156" t="s">
        <v>332</v>
      </c>
      <c r="D16" s="762" t="s">
        <v>1293</v>
      </c>
      <c r="E16" s="763">
        <v>75</v>
      </c>
      <c r="F16" s="3" t="s">
        <v>513</v>
      </c>
    </row>
    <row r="17" spans="1:6" ht="15" x14ac:dyDescent="0.25">
      <c r="A17" s="840" t="s">
        <v>3</v>
      </c>
      <c r="B17" s="120"/>
      <c r="C17" s="758" t="s">
        <v>16</v>
      </c>
      <c r="D17" s="6" t="s">
        <v>1277</v>
      </c>
      <c r="E17" s="143">
        <v>0.51</v>
      </c>
      <c r="F17" s="3" t="s">
        <v>513</v>
      </c>
    </row>
    <row r="18" spans="1:6" ht="15" x14ac:dyDescent="0.25">
      <c r="A18" s="841"/>
      <c r="B18" s="120"/>
      <c r="C18" s="874" t="s">
        <v>323</v>
      </c>
      <c r="D18" s="6" t="s">
        <v>1280</v>
      </c>
      <c r="E18" s="143">
        <v>0.9</v>
      </c>
      <c r="F18" s="3" t="s">
        <v>513</v>
      </c>
    </row>
    <row r="19" spans="1:6" ht="15.6" customHeight="1" thickBot="1" x14ac:dyDescent="0.3">
      <c r="A19" s="844"/>
      <c r="B19" s="120"/>
      <c r="C19" s="875"/>
      <c r="D19" s="6" t="s">
        <v>1279</v>
      </c>
      <c r="E19" s="143">
        <v>0.9</v>
      </c>
      <c r="F19" s="3" t="s">
        <v>513</v>
      </c>
    </row>
    <row r="20" spans="1:6" ht="15.6" customHeight="1" thickBot="1" x14ac:dyDescent="0.3">
      <c r="A20" s="157" t="s">
        <v>4</v>
      </c>
      <c r="B20" s="157"/>
      <c r="C20" s="158" t="s">
        <v>1</v>
      </c>
      <c r="D20" s="130" t="s">
        <v>325</v>
      </c>
      <c r="E20" s="256">
        <f>'Finance Metric by Entity_Dept'!R13</f>
        <v>0</v>
      </c>
      <c r="F20" s="46"/>
    </row>
    <row r="21" spans="1:6" ht="12.75" customHeight="1" x14ac:dyDescent="0.2"/>
    <row r="87" spans="10:10" x14ac:dyDescent="0.2">
      <c r="J87" s="2">
        <f>'Emergency Medicine'!E1084</f>
        <v>0</v>
      </c>
    </row>
  </sheetData>
  <mergeCells count="8">
    <mergeCell ref="A17:A19"/>
    <mergeCell ref="C18:C19"/>
    <mergeCell ref="A4:A8"/>
    <mergeCell ref="C5:C6"/>
    <mergeCell ref="C7:C8"/>
    <mergeCell ref="C13:C15"/>
    <mergeCell ref="A9:A15"/>
    <mergeCell ref="C10:C12"/>
  </mergeCells>
  <pageMargins left="0.7" right="0.7" top="0.75" bottom="0.75" header="0.3" footer="0.3"/>
  <pageSetup scale="7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7"/>
  <sheetViews>
    <sheetView topLeftCell="A4" workbookViewId="0">
      <selection activeCell="D21" sqref="D21"/>
    </sheetView>
  </sheetViews>
  <sheetFormatPr defaultColWidth="8.7109375" defaultRowHeight="12.75" x14ac:dyDescent="0.2"/>
  <cols>
    <col min="1" max="1" width="11" style="2" customWidth="1"/>
    <col min="2" max="2" width="14.85546875" style="2" hidden="1" customWidth="1"/>
    <col min="3" max="3" width="53.140625" style="2" customWidth="1"/>
    <col min="4" max="4" width="54.140625" style="2" bestFit="1" customWidth="1"/>
    <col min="5" max="5" width="28" style="2" customWidth="1"/>
    <col min="6" max="16384" width="8.7109375" style="2"/>
  </cols>
  <sheetData>
    <row r="1" spans="1:6" ht="18" x14ac:dyDescent="0.25">
      <c r="A1" s="135" t="s">
        <v>1296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2.75" customHeight="1" x14ac:dyDescent="0.25">
      <c r="A4" s="840" t="s">
        <v>10</v>
      </c>
      <c r="B4" s="113"/>
      <c r="C4" s="878" t="s">
        <v>11</v>
      </c>
      <c r="D4" s="160" t="s">
        <v>388</v>
      </c>
      <c r="E4" s="257">
        <f>'Growth Metric by Entity_Dept'!C19</f>
        <v>129779.9996</v>
      </c>
      <c r="F4" s="3" t="s">
        <v>513</v>
      </c>
    </row>
    <row r="5" spans="1:6" ht="12.75" customHeight="1" x14ac:dyDescent="0.25">
      <c r="A5" s="841"/>
      <c r="B5" s="115"/>
      <c r="C5" s="880"/>
      <c r="D5" s="125" t="s">
        <v>389</v>
      </c>
      <c r="E5" s="257">
        <f>'Growth Metric by Entity_Dept'!C21</f>
        <v>16961</v>
      </c>
      <c r="F5" s="3" t="s">
        <v>513</v>
      </c>
    </row>
    <row r="6" spans="1:6" ht="12.75" customHeight="1" x14ac:dyDescent="0.25">
      <c r="A6" s="841"/>
      <c r="B6" s="115"/>
      <c r="C6" s="877" t="s">
        <v>317</v>
      </c>
      <c r="D6" s="125" t="s">
        <v>334</v>
      </c>
      <c r="E6" s="118">
        <f>'Growth Metric by Entity_Dept'!K19</f>
        <v>5333</v>
      </c>
    </row>
    <row r="7" spans="1:6" ht="12.75" customHeight="1" x14ac:dyDescent="0.25">
      <c r="A7" s="841"/>
      <c r="B7" s="115"/>
      <c r="C7" s="877"/>
      <c r="D7" s="6" t="s">
        <v>478</v>
      </c>
      <c r="E7" s="281">
        <f>'Growth Metric by Entity_Dept'!G19</f>
        <v>1.4144000000000001</v>
      </c>
    </row>
    <row r="8" spans="1:6" ht="12.75" customHeight="1" x14ac:dyDescent="0.25">
      <c r="A8" s="841"/>
      <c r="B8" s="115"/>
      <c r="C8" s="877"/>
      <c r="D8" s="6" t="s">
        <v>479</v>
      </c>
      <c r="E8" s="281">
        <f>'Growth Metric by Entity_Dept'!G20</f>
        <v>1.2272000000000001</v>
      </c>
    </row>
    <row r="9" spans="1:6" ht="12.75" customHeight="1" x14ac:dyDescent="0.25">
      <c r="A9" s="841"/>
      <c r="B9" s="115"/>
      <c r="C9" s="874" t="s">
        <v>15</v>
      </c>
      <c r="D9" s="125" t="str">
        <f>'Emergency Medicine'!D7</f>
        <v>Achieve budgeted  wRVUs - UNMH</v>
      </c>
      <c r="E9" s="118">
        <f>'Growth Metric by Entity_Dept'!S19</f>
        <v>117169</v>
      </c>
      <c r="F9" s="3" t="s">
        <v>513</v>
      </c>
    </row>
    <row r="10" spans="1:6" ht="13.5" customHeight="1" thickBot="1" x14ac:dyDescent="0.3">
      <c r="A10" s="844"/>
      <c r="B10" s="147"/>
      <c r="C10" s="875"/>
      <c r="D10" s="123" t="str">
        <f>'Emergency Medicine'!D8</f>
        <v>Achieve budgeted wRVUs - SRMC</v>
      </c>
      <c r="E10" s="149">
        <f>'Growth Metric by Entity_Dept'!S21</f>
        <v>11527</v>
      </c>
      <c r="F10" s="3" t="s">
        <v>513</v>
      </c>
    </row>
    <row r="11" spans="1:6" ht="12.75" customHeight="1" x14ac:dyDescent="0.25">
      <c r="A11" s="840" t="s">
        <v>7</v>
      </c>
      <c r="B11" s="124"/>
      <c r="C11" s="114" t="s">
        <v>330</v>
      </c>
      <c r="D11" s="160" t="s">
        <v>335</v>
      </c>
      <c r="E11" s="282">
        <f>'Qual_Saf Metric by Entity_Dept'!C16</f>
        <v>0.32319999999999999</v>
      </c>
    </row>
    <row r="12" spans="1:6" ht="12.75" customHeight="1" x14ac:dyDescent="0.25">
      <c r="A12" s="841"/>
      <c r="B12" s="120"/>
      <c r="C12" s="874" t="s">
        <v>336</v>
      </c>
      <c r="D12" s="52" t="s">
        <v>337</v>
      </c>
      <c r="E12" s="161">
        <v>0</v>
      </c>
    </row>
    <row r="13" spans="1:6" ht="12.75" customHeight="1" x14ac:dyDescent="0.25">
      <c r="A13" s="841"/>
      <c r="B13" s="120"/>
      <c r="C13" s="874"/>
      <c r="D13" s="52" t="s">
        <v>338</v>
      </c>
      <c r="E13" s="161">
        <v>1</v>
      </c>
    </row>
    <row r="14" spans="1:6" ht="12.75" customHeight="1" x14ac:dyDescent="0.25">
      <c r="A14" s="841"/>
      <c r="B14" s="120"/>
      <c r="C14" s="874"/>
      <c r="D14" s="52" t="s">
        <v>339</v>
      </c>
      <c r="E14" s="161">
        <v>3</v>
      </c>
      <c r="F14" s="3" t="s">
        <v>513</v>
      </c>
    </row>
    <row r="15" spans="1:6" ht="12.75" customHeight="1" x14ac:dyDescent="0.25">
      <c r="A15" s="841"/>
      <c r="B15" s="120"/>
      <c r="C15" s="881" t="s">
        <v>340</v>
      </c>
      <c r="D15" s="52" t="s">
        <v>480</v>
      </c>
      <c r="E15" s="283">
        <f>'Qual_Saf Metric by Entity_Dept'!O16</f>
        <v>13.92</v>
      </c>
    </row>
    <row r="16" spans="1:6" ht="12.75" customHeight="1" x14ac:dyDescent="0.25">
      <c r="A16" s="841"/>
      <c r="B16" s="120"/>
      <c r="C16" s="874"/>
      <c r="D16" s="52" t="s">
        <v>481</v>
      </c>
      <c r="E16" s="281">
        <f>'Qual_Saf Metric by Entity_Dept'!O17</f>
        <v>5</v>
      </c>
    </row>
    <row r="17" spans="1:6" ht="12.75" customHeight="1" x14ac:dyDescent="0.25">
      <c r="A17" s="841"/>
      <c r="B17" s="120"/>
      <c r="C17" s="877" t="s">
        <v>511</v>
      </c>
      <c r="D17" s="52" t="s">
        <v>1298</v>
      </c>
      <c r="E17" s="363">
        <v>0.82</v>
      </c>
      <c r="F17" s="3" t="s">
        <v>513</v>
      </c>
    </row>
    <row r="18" spans="1:6" ht="12.75" customHeight="1" x14ac:dyDescent="0.25">
      <c r="A18" s="841"/>
      <c r="B18" s="120"/>
      <c r="C18" s="877"/>
      <c r="D18" s="52" t="s">
        <v>1299</v>
      </c>
      <c r="E18" s="363">
        <v>0.71</v>
      </c>
    </row>
    <row r="19" spans="1:6" ht="12.75" customHeight="1" thickBot="1" x14ac:dyDescent="0.3">
      <c r="A19" s="844"/>
      <c r="B19" s="120"/>
      <c r="C19" s="882"/>
      <c r="D19" s="162" t="s">
        <v>1335</v>
      </c>
      <c r="E19" s="364">
        <v>0.8</v>
      </c>
    </row>
    <row r="20" spans="1:6" ht="15.6" customHeight="1" thickBot="1" x14ac:dyDescent="0.3">
      <c r="A20" s="841" t="s">
        <v>2</v>
      </c>
      <c r="B20" s="120"/>
      <c r="C20" s="163" t="s">
        <v>8</v>
      </c>
      <c r="D20" s="125" t="s">
        <v>1297</v>
      </c>
      <c r="E20" s="161" t="str">
        <f>'Service Metric by Entity_Dept'!C17 &amp; "%tile"</f>
        <v>32%tile</v>
      </c>
      <c r="F20" s="3" t="s">
        <v>513</v>
      </c>
    </row>
    <row r="21" spans="1:6" ht="15.6" customHeight="1" thickBot="1" x14ac:dyDescent="0.3">
      <c r="A21" s="844"/>
      <c r="B21" s="120"/>
      <c r="C21" s="163" t="s">
        <v>9</v>
      </c>
      <c r="D21" s="212" t="s">
        <v>1349</v>
      </c>
      <c r="E21" s="203" t="str">
        <f>'Service Metric by Entity_Dept'!G17 &amp; "%tile"</f>
        <v>36%tile</v>
      </c>
      <c r="F21" s="3" t="s">
        <v>513</v>
      </c>
    </row>
    <row r="22" spans="1:6" ht="15" x14ac:dyDescent="0.25">
      <c r="A22" s="840" t="s">
        <v>3</v>
      </c>
      <c r="B22" s="120"/>
      <c r="C22" s="876" t="s">
        <v>16</v>
      </c>
      <c r="D22" s="6" t="s">
        <v>1277</v>
      </c>
      <c r="E22" s="143">
        <v>0.51</v>
      </c>
      <c r="F22" s="3" t="s">
        <v>513</v>
      </c>
    </row>
    <row r="23" spans="1:6" ht="15" x14ac:dyDescent="0.25">
      <c r="A23" s="841"/>
      <c r="B23" s="120"/>
      <c r="C23" s="874"/>
      <c r="D23" s="6" t="s">
        <v>1280</v>
      </c>
      <c r="E23" s="143">
        <v>0.9</v>
      </c>
      <c r="F23" s="3" t="s">
        <v>513</v>
      </c>
    </row>
    <row r="24" spans="1:6" ht="15.75" thickBot="1" x14ac:dyDescent="0.3">
      <c r="A24" s="844"/>
      <c r="B24" s="120"/>
      <c r="C24" s="134" t="s">
        <v>323</v>
      </c>
      <c r="D24" s="6" t="s">
        <v>1279</v>
      </c>
      <c r="E24" s="143">
        <v>0.9</v>
      </c>
      <c r="F24" s="3" t="s">
        <v>513</v>
      </c>
    </row>
    <row r="25" spans="1:6" ht="15.6" customHeight="1" thickBot="1" x14ac:dyDescent="0.3">
      <c r="A25" s="127" t="s">
        <v>4</v>
      </c>
      <c r="B25" s="128"/>
      <c r="C25" s="365" t="s">
        <v>1</v>
      </c>
      <c r="D25" s="130" t="s">
        <v>325</v>
      </c>
      <c r="E25" s="254">
        <f>'Finance Metric by Entity_Dept'!R14</f>
        <v>0</v>
      </c>
    </row>
    <row r="27" spans="1:6" ht="15" x14ac:dyDescent="0.25">
      <c r="A27" s="5"/>
      <c r="B27" s="5"/>
      <c r="C27" s="5"/>
      <c r="D27" s="5"/>
      <c r="E27" s="5"/>
    </row>
  </sheetData>
  <mergeCells count="11">
    <mergeCell ref="A22:A24"/>
    <mergeCell ref="C22:C23"/>
    <mergeCell ref="A20:A21"/>
    <mergeCell ref="A4:A10"/>
    <mergeCell ref="C4:C5"/>
    <mergeCell ref="C9:C10"/>
    <mergeCell ref="C12:C14"/>
    <mergeCell ref="C6:C8"/>
    <mergeCell ref="C15:C16"/>
    <mergeCell ref="A11:A19"/>
    <mergeCell ref="C17:C19"/>
  </mergeCells>
  <pageMargins left="0.7" right="0.7" top="0.75" bottom="0.75" header="0.3" footer="0.3"/>
  <pageSetup scale="8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6"/>
  <sheetViews>
    <sheetView workbookViewId="0">
      <selection activeCell="E4" sqref="E4"/>
    </sheetView>
  </sheetViews>
  <sheetFormatPr defaultColWidth="8.7109375" defaultRowHeight="12.75" x14ac:dyDescent="0.2"/>
  <cols>
    <col min="1" max="1" width="20.5703125" style="2" customWidth="1"/>
    <col min="2" max="2" width="14.85546875" style="2" hidden="1" customWidth="1"/>
    <col min="3" max="3" width="42.85546875" style="2" customWidth="1"/>
    <col min="4" max="4" width="62.140625" style="2" customWidth="1"/>
    <col min="5" max="5" width="24.7109375" style="2" customWidth="1"/>
    <col min="6" max="16384" width="8.7109375" style="2"/>
  </cols>
  <sheetData>
    <row r="1" spans="1:6" ht="18" x14ac:dyDescent="0.25">
      <c r="A1" s="135" t="s">
        <v>1311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" x14ac:dyDescent="0.25">
      <c r="A4" s="840" t="s">
        <v>10</v>
      </c>
      <c r="B4" s="113"/>
      <c r="C4" s="876" t="s">
        <v>11</v>
      </c>
      <c r="D4" s="126" t="str">
        <f>'Familty &amp; Comm Medicine'!D4</f>
        <v>Achieve budgeted clinic visits at UNMH</v>
      </c>
      <c r="E4" s="165">
        <f>'Growth Metric by Entity_Dept'!C23</f>
        <v>119873.99960000001</v>
      </c>
    </row>
    <row r="5" spans="1:6" ht="12.75" customHeight="1" x14ac:dyDescent="0.25">
      <c r="A5" s="841"/>
      <c r="B5" s="115"/>
      <c r="C5" s="874"/>
      <c r="D5" s="6" t="str">
        <f>'Familty &amp; Comm Medicine'!D5</f>
        <v>Achieve budgetd clinic visits at SRMC</v>
      </c>
      <c r="E5" s="165">
        <f>'Growth Metric by Entity_Dept'!C24</f>
        <v>10016</v>
      </c>
    </row>
    <row r="6" spans="1:6" ht="12.75" customHeight="1" x14ac:dyDescent="0.25">
      <c r="A6" s="841"/>
      <c r="B6" s="115"/>
      <c r="C6" s="874"/>
      <c r="D6" s="52" t="s">
        <v>390</v>
      </c>
      <c r="E6" s="118">
        <f>'Growth Metric by Entity_Dept'!C25</f>
        <v>20843</v>
      </c>
    </row>
    <row r="7" spans="1:6" ht="12.75" customHeight="1" x14ac:dyDescent="0.25">
      <c r="A7" s="841"/>
      <c r="B7" s="115"/>
      <c r="C7" s="877" t="s">
        <v>317</v>
      </c>
      <c r="D7" s="52" t="s">
        <v>334</v>
      </c>
      <c r="E7" s="118">
        <f>'Growth Metric by Entity_Dept'!K23</f>
        <v>11370</v>
      </c>
    </row>
    <row r="8" spans="1:6" ht="12.75" customHeight="1" x14ac:dyDescent="0.25">
      <c r="A8" s="841"/>
      <c r="B8" s="115"/>
      <c r="C8" s="877"/>
      <c r="D8" s="6" t="s">
        <v>1275</v>
      </c>
      <c r="E8" s="281">
        <f>'Growth Metric by Entity_Dept'!G23</f>
        <v>1.9136000000000002</v>
      </c>
    </row>
    <row r="9" spans="1:6" ht="12.75" customHeight="1" x14ac:dyDescent="0.25">
      <c r="A9" s="841"/>
      <c r="B9" s="115"/>
      <c r="C9" s="877" t="s">
        <v>343</v>
      </c>
      <c r="D9" s="125" t="str">
        <f>'Familty &amp; Comm Medicine'!D9</f>
        <v>Achieve budgeted  wRVUs - UNMH</v>
      </c>
      <c r="E9" s="118">
        <f>'Growth Metric by Entity_Dept'!S23</f>
        <v>400048</v>
      </c>
      <c r="F9" s="3" t="s">
        <v>513</v>
      </c>
    </row>
    <row r="10" spans="1:6" ht="12.75" customHeight="1" thickBot="1" x14ac:dyDescent="0.3">
      <c r="A10" s="844"/>
      <c r="B10" s="147"/>
      <c r="C10" s="882"/>
      <c r="D10" s="123" t="str">
        <f>'Familty &amp; Comm Medicine'!D10</f>
        <v>Achieve budgeted wRVUs - SRMC</v>
      </c>
      <c r="E10" s="149">
        <f>'Growth Metric by Entity_Dept'!S24</f>
        <v>41617</v>
      </c>
      <c r="F10" s="3" t="s">
        <v>513</v>
      </c>
    </row>
    <row r="11" spans="1:6" ht="12.75" customHeight="1" x14ac:dyDescent="0.25">
      <c r="A11" s="840" t="s">
        <v>7</v>
      </c>
      <c r="B11" s="113"/>
      <c r="C11" s="114" t="s">
        <v>330</v>
      </c>
      <c r="D11" s="52" t="s">
        <v>335</v>
      </c>
      <c r="E11" s="282">
        <f>'Qual_Saf Metric by Entity_Dept'!C18</f>
        <v>0.94</v>
      </c>
      <c r="F11" s="3" t="s">
        <v>513</v>
      </c>
    </row>
    <row r="12" spans="1:6" ht="12.75" customHeight="1" x14ac:dyDescent="0.25">
      <c r="A12" s="841"/>
      <c r="B12" s="166"/>
      <c r="C12" s="883" t="s">
        <v>336</v>
      </c>
      <c r="D12" s="167" t="s">
        <v>344</v>
      </c>
      <c r="E12" s="161">
        <v>5</v>
      </c>
    </row>
    <row r="13" spans="1:6" ht="12.75" customHeight="1" x14ac:dyDescent="0.25">
      <c r="A13" s="841"/>
      <c r="B13" s="168"/>
      <c r="C13" s="883"/>
      <c r="D13" s="125" t="s">
        <v>338</v>
      </c>
      <c r="E13" s="161">
        <v>8</v>
      </c>
    </row>
    <row r="14" spans="1:6" ht="12.75" customHeight="1" x14ac:dyDescent="0.25">
      <c r="A14" s="841"/>
      <c r="B14" s="168"/>
      <c r="C14" s="883"/>
      <c r="D14" s="125" t="s">
        <v>339</v>
      </c>
      <c r="E14" s="161">
        <f>56-4</f>
        <v>52</v>
      </c>
      <c r="F14" s="773" t="s">
        <v>513</v>
      </c>
    </row>
    <row r="15" spans="1:6" ht="13.5" customHeight="1" x14ac:dyDescent="0.25">
      <c r="A15" s="841"/>
      <c r="B15" s="168"/>
      <c r="C15" s="745" t="s">
        <v>345</v>
      </c>
      <c r="D15" s="125" t="s">
        <v>347</v>
      </c>
      <c r="E15" s="161">
        <v>5</v>
      </c>
    </row>
    <row r="16" spans="1:6" ht="12.75" customHeight="1" x14ac:dyDescent="0.25">
      <c r="A16" s="841"/>
      <c r="B16" s="168"/>
      <c r="C16" s="116" t="s">
        <v>331</v>
      </c>
      <c r="D16" s="55" t="s">
        <v>348</v>
      </c>
      <c r="E16" s="366">
        <f>'Qual_Saf Metric by Entity_Dept'!O18</f>
        <v>12.84</v>
      </c>
    </row>
    <row r="17" spans="1:6" ht="12.75" customHeight="1" x14ac:dyDescent="0.25">
      <c r="A17" s="841"/>
      <c r="B17" s="168"/>
      <c r="C17" s="877" t="s">
        <v>511</v>
      </c>
      <c r="D17" s="55" t="str">
        <f>'Familty &amp; Comm Medicine'!D17</f>
        <v>Diabetes HgbA1c &lt;9</v>
      </c>
      <c r="E17" s="367">
        <f>'Familty &amp; Comm Medicine'!E17</f>
        <v>0.82</v>
      </c>
      <c r="F17" s="3" t="s">
        <v>513</v>
      </c>
    </row>
    <row r="18" spans="1:6" ht="12.75" customHeight="1" x14ac:dyDescent="0.25">
      <c r="A18" s="841"/>
      <c r="B18" s="168"/>
      <c r="C18" s="877"/>
      <c r="D18" s="55" t="str">
        <f>'Familty &amp; Comm Medicine'!D18</f>
        <v>Blood pressure less than 140/90</v>
      </c>
      <c r="E18" s="367">
        <f>'Familty &amp; Comm Medicine'!E18</f>
        <v>0.71</v>
      </c>
    </row>
    <row r="19" spans="1:6" ht="12.75" customHeight="1" thickBot="1" x14ac:dyDescent="0.3">
      <c r="A19" s="841"/>
      <c r="B19" s="168"/>
      <c r="C19" s="882"/>
      <c r="D19" s="55" t="s">
        <v>1335</v>
      </c>
      <c r="E19" s="367">
        <v>0.8</v>
      </c>
    </row>
    <row r="20" spans="1:6" ht="15.6" customHeight="1" thickBot="1" x14ac:dyDescent="0.3">
      <c r="A20" s="840" t="s">
        <v>2</v>
      </c>
      <c r="B20" s="115"/>
      <c r="C20" s="774" t="s">
        <v>332</v>
      </c>
      <c r="D20" s="121" t="s">
        <v>1269</v>
      </c>
      <c r="E20" s="151" t="str">
        <f>'Service Metric by Entity_Dept'!C19 &amp; "%tile"</f>
        <v>27%tile</v>
      </c>
      <c r="F20" s="3" t="s">
        <v>513</v>
      </c>
    </row>
    <row r="21" spans="1:6" ht="15.6" customHeight="1" thickBot="1" x14ac:dyDescent="0.3">
      <c r="A21" s="841"/>
      <c r="B21" s="115"/>
      <c r="C21" s="169" t="s">
        <v>333</v>
      </c>
      <c r="D21" s="212" t="s">
        <v>1349</v>
      </c>
      <c r="E21" s="754" t="str">
        <f>'Service Metric by Entity_Dept'!G19 &amp; "%tile"</f>
        <v>25%tile</v>
      </c>
      <c r="F21" s="3" t="s">
        <v>513</v>
      </c>
    </row>
    <row r="22" spans="1:6" ht="30" x14ac:dyDescent="0.25">
      <c r="A22" s="840" t="s">
        <v>3</v>
      </c>
      <c r="B22" s="120"/>
      <c r="C22" s="395" t="s">
        <v>16</v>
      </c>
      <c r="D22" s="6" t="s">
        <v>1277</v>
      </c>
      <c r="E22" s="143">
        <v>0.51</v>
      </c>
      <c r="F22" s="3" t="s">
        <v>513</v>
      </c>
    </row>
    <row r="23" spans="1:6" ht="15" x14ac:dyDescent="0.25">
      <c r="A23" s="841"/>
      <c r="B23" s="131"/>
      <c r="C23" s="874" t="s">
        <v>323</v>
      </c>
      <c r="D23" s="6" t="s">
        <v>1280</v>
      </c>
      <c r="E23" s="143">
        <v>0.9</v>
      </c>
      <c r="F23" s="3" t="s">
        <v>513</v>
      </c>
    </row>
    <row r="24" spans="1:6" ht="15.6" customHeight="1" thickBot="1" x14ac:dyDescent="0.3">
      <c r="A24" s="844"/>
      <c r="B24" s="131"/>
      <c r="C24" s="875"/>
      <c r="D24" s="6" t="s">
        <v>1279</v>
      </c>
      <c r="E24" s="143">
        <v>0.9</v>
      </c>
      <c r="F24" s="3" t="s">
        <v>513</v>
      </c>
    </row>
    <row r="25" spans="1:6" ht="15.6" customHeight="1" thickBot="1" x14ac:dyDescent="0.3">
      <c r="A25" s="127" t="s">
        <v>4</v>
      </c>
      <c r="B25" s="128"/>
      <c r="C25" s="129" t="s">
        <v>1</v>
      </c>
      <c r="D25" s="130" t="s">
        <v>325</v>
      </c>
      <c r="E25" s="260">
        <f>'Finance Metric by Entity_Dept'!R15*1000</f>
        <v>0</v>
      </c>
    </row>
    <row r="26" spans="1:6" x14ac:dyDescent="0.2">
      <c r="E26" s="170"/>
    </row>
  </sheetData>
  <mergeCells count="10">
    <mergeCell ref="A22:A24"/>
    <mergeCell ref="C23:C24"/>
    <mergeCell ref="A20:A21"/>
    <mergeCell ref="A4:A10"/>
    <mergeCell ref="C4:C6"/>
    <mergeCell ref="C7:C8"/>
    <mergeCell ref="C9:C10"/>
    <mergeCell ref="C12:C14"/>
    <mergeCell ref="A11:A19"/>
    <mergeCell ref="C17:C19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I79"/>
  <sheetViews>
    <sheetView topLeftCell="B1" zoomScale="90" zoomScaleNormal="90" workbookViewId="0">
      <pane xSplit="2" ySplit="7" topLeftCell="F74" activePane="bottomRight" state="frozen"/>
      <selection activeCell="G15" sqref="G15"/>
      <selection pane="topRight" activeCell="G15" sqref="G15"/>
      <selection pane="bottomLeft" activeCell="G15" sqref="G15"/>
      <selection pane="bottomRight" activeCell="G81" sqref="G81"/>
    </sheetView>
  </sheetViews>
  <sheetFormatPr defaultColWidth="8.7109375" defaultRowHeight="12.75" x14ac:dyDescent="0.2"/>
  <cols>
    <col min="1" max="1" width="4.140625" style="2" hidden="1" customWidth="1"/>
    <col min="2" max="2" width="14.7109375" style="2" customWidth="1"/>
    <col min="3" max="3" width="8.42578125" style="2" bestFit="1" customWidth="1"/>
    <col min="4" max="4" width="7.5703125" style="332" customWidth="1"/>
    <col min="5" max="5" width="73.42578125" style="2" bestFit="1" customWidth="1"/>
    <col min="6" max="6" width="8.85546875" style="332" bestFit="1" customWidth="1"/>
    <col min="7" max="7" width="95.5703125" style="2" bestFit="1" customWidth="1"/>
    <col min="8" max="8" width="25.7109375" style="332" bestFit="1" customWidth="1"/>
    <col min="9" max="9" width="25.140625" style="332" bestFit="1" customWidth="1"/>
    <col min="10" max="16384" width="8.7109375" style="2"/>
  </cols>
  <sheetData>
    <row r="5" spans="1:9" ht="21" x14ac:dyDescent="0.35">
      <c r="A5" s="5"/>
      <c r="B5" s="303" t="s">
        <v>515</v>
      </c>
      <c r="C5" s="304"/>
      <c r="D5" s="305"/>
      <c r="E5" s="305"/>
      <c r="F5" s="305"/>
      <c r="G5" s="305"/>
      <c r="H5" s="305"/>
      <c r="I5" s="305"/>
    </row>
    <row r="6" spans="1:9" ht="21" x14ac:dyDescent="0.35">
      <c r="A6" s="5"/>
      <c r="B6" s="303" t="s">
        <v>560</v>
      </c>
      <c r="C6" s="304"/>
      <c r="D6" s="305"/>
      <c r="E6" s="305"/>
      <c r="F6" s="305"/>
      <c r="G6" s="305"/>
      <c r="H6" s="305"/>
      <c r="I6" s="305"/>
    </row>
    <row r="7" spans="1:9" ht="30" x14ac:dyDescent="0.25">
      <c r="A7" s="306" t="s">
        <v>490</v>
      </c>
      <c r="B7" s="307" t="s">
        <v>0</v>
      </c>
      <c r="C7" s="307" t="s">
        <v>34</v>
      </c>
      <c r="D7" s="337" t="s">
        <v>500</v>
      </c>
      <c r="E7" s="307" t="s">
        <v>5</v>
      </c>
      <c r="F7" s="308" t="s">
        <v>501</v>
      </c>
      <c r="G7" s="307" t="s">
        <v>611</v>
      </c>
      <c r="H7" s="330" t="s">
        <v>491</v>
      </c>
      <c r="I7" s="308" t="s">
        <v>610</v>
      </c>
    </row>
    <row r="8" spans="1:9" s="326" customFormat="1" ht="15" x14ac:dyDescent="0.25">
      <c r="A8" s="310">
        <v>1</v>
      </c>
      <c r="B8" s="309" t="s">
        <v>10</v>
      </c>
      <c r="C8" s="309" t="s">
        <v>492</v>
      </c>
      <c r="D8" s="309">
        <v>1</v>
      </c>
      <c r="E8" s="314" t="s">
        <v>493</v>
      </c>
      <c r="F8" s="333">
        <v>1.1000000000000001</v>
      </c>
      <c r="G8" s="310" t="str">
        <f>'FY 20 UNMHS Presentation'!D8:D12</f>
        <v xml:space="preserve">Achieve Budgeted Clinic Visits </v>
      </c>
      <c r="H8" s="331"/>
      <c r="I8" s="334">
        <f>'Growth Metric by Entity_Dept'!C4</f>
        <v>914589.99679999985</v>
      </c>
    </row>
    <row r="9" spans="1:9" s="208" customFormat="1" ht="15" x14ac:dyDescent="0.25">
      <c r="A9" s="312">
        <v>1</v>
      </c>
      <c r="B9" s="313" t="s">
        <v>10</v>
      </c>
      <c r="C9" s="313" t="s">
        <v>494</v>
      </c>
      <c r="D9" s="313">
        <f>D8</f>
        <v>1</v>
      </c>
      <c r="E9" s="311" t="s">
        <v>493</v>
      </c>
      <c r="F9" s="313">
        <f t="shared" ref="F9:F11" si="0">F8</f>
        <v>1.1000000000000001</v>
      </c>
      <c r="G9" s="313" t="str">
        <f>G8</f>
        <v xml:space="preserve">Achieve Budgeted Clinic Visits </v>
      </c>
      <c r="H9" s="329"/>
      <c r="I9" s="327">
        <f>'Growth Metric by Entity_Dept'!C5</f>
        <v>807026.99679999985</v>
      </c>
    </row>
    <row r="10" spans="1:9" s="208" customFormat="1" ht="15" x14ac:dyDescent="0.25">
      <c r="A10" s="312">
        <v>1</v>
      </c>
      <c r="B10" s="313" t="s">
        <v>296</v>
      </c>
      <c r="C10" s="313" t="s">
        <v>274</v>
      </c>
      <c r="D10" s="313">
        <f>D9</f>
        <v>1</v>
      </c>
      <c r="E10" s="311" t="s">
        <v>493</v>
      </c>
      <c r="F10" s="313">
        <f t="shared" si="0"/>
        <v>1.1000000000000001</v>
      </c>
      <c r="G10" s="313" t="str">
        <f>G9</f>
        <v xml:space="preserve">Achieve Budgeted Clinic Visits </v>
      </c>
      <c r="H10" s="325"/>
      <c r="I10" s="327">
        <f>'Growth Metric by Entity_Dept'!C6</f>
        <v>49929</v>
      </c>
    </row>
    <row r="11" spans="1:9" s="208" customFormat="1" ht="15" x14ac:dyDescent="0.25">
      <c r="A11" s="312">
        <v>1</v>
      </c>
      <c r="B11" s="328" t="s">
        <v>296</v>
      </c>
      <c r="C11" s="328" t="s">
        <v>496</v>
      </c>
      <c r="D11" s="313">
        <f>D10</f>
        <v>1</v>
      </c>
      <c r="E11" s="311" t="s">
        <v>493</v>
      </c>
      <c r="F11" s="313">
        <f t="shared" si="0"/>
        <v>1.1000000000000001</v>
      </c>
      <c r="G11" s="313" t="str">
        <f>G10</f>
        <v xml:space="preserve">Achieve Budgeted Clinic Visits </v>
      </c>
      <c r="H11" s="329"/>
      <c r="I11" s="327">
        <f>'Growth Metric by Entity_Dept'!C7</f>
        <v>57634</v>
      </c>
    </row>
    <row r="12" spans="1:9" s="326" customFormat="1" ht="15" x14ac:dyDescent="0.25">
      <c r="A12" s="310">
        <v>1</v>
      </c>
      <c r="B12" s="309" t="s">
        <v>10</v>
      </c>
      <c r="C12" s="309" t="s">
        <v>492</v>
      </c>
      <c r="D12" s="309">
        <v>2</v>
      </c>
      <c r="E12" s="309" t="s">
        <v>13</v>
      </c>
      <c r="F12" s="333">
        <v>2.1</v>
      </c>
      <c r="G12" s="310" t="str">
        <f>'FY 20 UNMHS Presentation'!D13</f>
        <v xml:space="preserve">Achieve Budgeted CMI </v>
      </c>
      <c r="H12" s="331"/>
      <c r="I12" s="338">
        <f>'Growth Metric by Entity_Dept'!G4</f>
        <v>2.0168506767413712</v>
      </c>
    </row>
    <row r="13" spans="1:9" s="208" customFormat="1" ht="15" x14ac:dyDescent="0.25">
      <c r="A13" s="339"/>
      <c r="B13" s="313" t="s">
        <v>296</v>
      </c>
      <c r="C13" s="313" t="s">
        <v>494</v>
      </c>
      <c r="D13" s="313">
        <f t="shared" ref="D13:G14" si="1">D12</f>
        <v>2</v>
      </c>
      <c r="E13" s="313" t="str">
        <f t="shared" si="1"/>
        <v xml:space="preserve">Increase inpatient access and throughput </v>
      </c>
      <c r="F13" s="340">
        <f t="shared" si="1"/>
        <v>2.1</v>
      </c>
      <c r="G13" s="312" t="str">
        <f t="shared" si="1"/>
        <v xml:space="preserve">Achieve Budgeted CMI </v>
      </c>
      <c r="H13" s="329"/>
      <c r="I13" s="342">
        <f>'Growth Metric by Entity_Dept'!G5</f>
        <v>2.0699999999999998</v>
      </c>
    </row>
    <row r="14" spans="1:9" s="208" customFormat="1" ht="15" x14ac:dyDescent="0.25">
      <c r="A14" s="312">
        <v>1</v>
      </c>
      <c r="B14" s="313" t="s">
        <v>296</v>
      </c>
      <c r="C14" s="313" t="s">
        <v>274</v>
      </c>
      <c r="D14" s="313">
        <f t="shared" si="1"/>
        <v>2</v>
      </c>
      <c r="E14" s="313" t="str">
        <f t="shared" si="1"/>
        <v xml:space="preserve">Increase inpatient access and throughput </v>
      </c>
      <c r="F14" s="340">
        <f t="shared" si="1"/>
        <v>2.1</v>
      </c>
      <c r="G14" s="312" t="str">
        <f t="shared" si="1"/>
        <v xml:space="preserve">Achieve Budgeted CMI </v>
      </c>
      <c r="H14" s="325"/>
      <c r="I14" s="342">
        <f>'Growth Metric by Entity_Dept'!G6</f>
        <v>1.6</v>
      </c>
    </row>
    <row r="15" spans="1:9" s="326" customFormat="1" ht="15" x14ac:dyDescent="0.25">
      <c r="A15" s="310">
        <v>1</v>
      </c>
      <c r="B15" s="309" t="s">
        <v>10</v>
      </c>
      <c r="C15" s="309" t="s">
        <v>492</v>
      </c>
      <c r="D15" s="309">
        <v>2</v>
      </c>
      <c r="E15" s="309" t="s">
        <v>13</v>
      </c>
      <c r="F15" s="333">
        <v>2.2000000000000002</v>
      </c>
      <c r="G15" s="310" t="s">
        <v>1241</v>
      </c>
      <c r="H15" s="331"/>
      <c r="I15" s="334">
        <f>'Growth Metric by Entity_Dept'!K4</f>
        <v>45843.542027653806</v>
      </c>
    </row>
    <row r="16" spans="1:9" s="208" customFormat="1" ht="15" x14ac:dyDescent="0.25">
      <c r="A16" s="312">
        <v>1</v>
      </c>
      <c r="B16" s="313" t="s">
        <v>10</v>
      </c>
      <c r="C16" s="313" t="s">
        <v>494</v>
      </c>
      <c r="D16" s="313">
        <f>D15</f>
        <v>2</v>
      </c>
      <c r="E16" s="313" t="s">
        <v>13</v>
      </c>
      <c r="F16" s="341">
        <f>F15</f>
        <v>2.2000000000000002</v>
      </c>
      <c r="G16" s="312" t="str">
        <f>G15</f>
        <v xml:space="preserve">Achieve Budgeted  Discharges </v>
      </c>
      <c r="H16" s="329"/>
      <c r="I16" s="327">
        <f>'Growth Metric by Entity_Dept'!K5</f>
        <v>40754.542027653806</v>
      </c>
    </row>
    <row r="17" spans="1:9" s="208" customFormat="1" ht="15" x14ac:dyDescent="0.25">
      <c r="A17" s="312">
        <v>1</v>
      </c>
      <c r="B17" s="313" t="s">
        <v>296</v>
      </c>
      <c r="C17" s="313" t="s">
        <v>274</v>
      </c>
      <c r="D17" s="313">
        <f>D16</f>
        <v>2</v>
      </c>
      <c r="E17" s="311" t="s">
        <v>497</v>
      </c>
      <c r="F17" s="341">
        <f>F16</f>
        <v>2.2000000000000002</v>
      </c>
      <c r="G17" s="312" t="str">
        <f>G16</f>
        <v xml:space="preserve">Achieve Budgeted  Discharges </v>
      </c>
      <c r="H17" s="325"/>
      <c r="I17" s="327">
        <f>'Growth Metric by Entity_Dept'!K6</f>
        <v>5089</v>
      </c>
    </row>
    <row r="18" spans="1:9" s="326" customFormat="1" ht="15" x14ac:dyDescent="0.25">
      <c r="A18" s="310">
        <v>1</v>
      </c>
      <c r="B18" s="309" t="s">
        <v>10</v>
      </c>
      <c r="C18" s="309" t="s">
        <v>492</v>
      </c>
      <c r="D18" s="309">
        <v>3</v>
      </c>
      <c r="E18" s="314" t="s">
        <v>6</v>
      </c>
      <c r="F18" s="333">
        <v>3.1</v>
      </c>
      <c r="G18" s="310" t="s">
        <v>498</v>
      </c>
      <c r="H18" s="331"/>
      <c r="I18" s="334">
        <f>'Growth Metric by Entity_Dept'!O4</f>
        <v>24324</v>
      </c>
    </row>
    <row r="19" spans="1:9" s="208" customFormat="1" ht="15" x14ac:dyDescent="0.25">
      <c r="A19" s="312">
        <v>1</v>
      </c>
      <c r="B19" s="313" t="s">
        <v>10</v>
      </c>
      <c r="C19" s="313" t="s">
        <v>494</v>
      </c>
      <c r="D19" s="313">
        <f>D18</f>
        <v>3</v>
      </c>
      <c r="E19" s="311" t="s">
        <v>6</v>
      </c>
      <c r="F19" s="341">
        <f>F18</f>
        <v>3.1</v>
      </c>
      <c r="G19" s="312" t="str">
        <f>G18</f>
        <v>Achieve Budgeted Surgeries</v>
      </c>
      <c r="H19" s="329"/>
      <c r="I19" s="327">
        <f>'Growth Metric by Entity_Dept'!O5</f>
        <v>20712</v>
      </c>
    </row>
    <row r="20" spans="1:9" s="208" customFormat="1" ht="15" x14ac:dyDescent="0.25">
      <c r="A20" s="312">
        <v>1</v>
      </c>
      <c r="B20" s="313" t="s">
        <v>296</v>
      </c>
      <c r="C20" s="313" t="s">
        <v>274</v>
      </c>
      <c r="D20" s="313">
        <f>D19</f>
        <v>3</v>
      </c>
      <c r="E20" s="311" t="s">
        <v>6</v>
      </c>
      <c r="F20" s="341">
        <f>F19</f>
        <v>3.1</v>
      </c>
      <c r="G20" s="312" t="str">
        <f>G19</f>
        <v>Achieve Budgeted Surgeries</v>
      </c>
      <c r="H20" s="325"/>
      <c r="I20" s="327">
        <f>'Growth Metric by Entity_Dept'!O6</f>
        <v>3612</v>
      </c>
    </row>
    <row r="21" spans="1:9" s="326" customFormat="1" ht="15" x14ac:dyDescent="0.25">
      <c r="A21" s="310">
        <v>1</v>
      </c>
      <c r="B21" s="309" t="s">
        <v>10</v>
      </c>
      <c r="C21" s="309" t="s">
        <v>492</v>
      </c>
      <c r="D21" s="309">
        <v>4</v>
      </c>
      <c r="E21" s="314" t="s">
        <v>343</v>
      </c>
      <c r="F21" s="333">
        <v>4.0999999999999996</v>
      </c>
      <c r="G21" s="310" t="str">
        <f>'FY 20 UNMHS Presentation'!D24</f>
        <v xml:space="preserve">Achieve Budgeted wRVU's </v>
      </c>
      <c r="H21" s="331"/>
      <c r="I21" s="335">
        <f>'Growth Metric by Entity_Dept'!S4</f>
        <v>3386082.0300000003</v>
      </c>
    </row>
    <row r="22" spans="1:9" s="208" customFormat="1" ht="15" x14ac:dyDescent="0.25">
      <c r="A22" s="312">
        <v>1</v>
      </c>
      <c r="B22" s="328" t="s">
        <v>296</v>
      </c>
      <c r="C22" s="328" t="s">
        <v>496</v>
      </c>
      <c r="D22" s="313">
        <f>D21</f>
        <v>4</v>
      </c>
      <c r="E22" s="311" t="str">
        <f>E21</f>
        <v>Increase Total Provider Productivity</v>
      </c>
      <c r="F22" s="341">
        <f>F21</f>
        <v>4.0999999999999996</v>
      </c>
      <c r="G22" s="312" t="str">
        <f>G21</f>
        <v xml:space="preserve">Achieve Budgeted wRVU's </v>
      </c>
      <c r="H22" s="329"/>
      <c r="I22" s="347">
        <f>I21</f>
        <v>3386082.0300000003</v>
      </c>
    </row>
    <row r="23" spans="1:9" s="208" customFormat="1" ht="15" x14ac:dyDescent="0.25">
      <c r="A23" s="312">
        <v>1</v>
      </c>
      <c r="B23" s="328" t="s">
        <v>296</v>
      </c>
      <c r="C23" s="328" t="s">
        <v>496</v>
      </c>
      <c r="D23" s="313">
        <f>D22</f>
        <v>4</v>
      </c>
      <c r="E23" s="311" t="str">
        <f>E22</f>
        <v>Increase Total Provider Productivity</v>
      </c>
      <c r="F23" s="341">
        <v>4.2</v>
      </c>
      <c r="G23" s="312" t="s">
        <v>504</v>
      </c>
      <c r="H23" s="329"/>
      <c r="I23" s="347">
        <f>'Growth Metric by Entity_Dept'!S6</f>
        <v>351487.62</v>
      </c>
    </row>
    <row r="24" spans="1:9" s="326" customFormat="1" ht="15" x14ac:dyDescent="0.25">
      <c r="A24" s="310">
        <v>2</v>
      </c>
      <c r="B24" s="309" t="s">
        <v>7</v>
      </c>
      <c r="C24" s="309" t="s">
        <v>492</v>
      </c>
      <c r="D24" s="309">
        <v>5</v>
      </c>
      <c r="E24" s="319" t="s">
        <v>26</v>
      </c>
      <c r="F24" s="333">
        <v>5.0999999999999996</v>
      </c>
      <c r="G24" s="310" t="s">
        <v>1268</v>
      </c>
      <c r="H24" s="331"/>
      <c r="I24" s="350">
        <v>0.7</v>
      </c>
    </row>
    <row r="25" spans="1:9" s="345" customFormat="1" ht="15" x14ac:dyDescent="0.25">
      <c r="A25" s="318">
        <v>2</v>
      </c>
      <c r="B25" s="316" t="s">
        <v>7</v>
      </c>
      <c r="C25" s="316" t="s">
        <v>494</v>
      </c>
      <c r="D25" s="316">
        <f t="shared" ref="D25:G26" si="2">D24</f>
        <v>5</v>
      </c>
      <c r="E25" s="317" t="str">
        <f t="shared" si="2"/>
        <v>Improve Inpatient Quality and Safety</v>
      </c>
      <c r="F25" s="343">
        <f t="shared" si="2"/>
        <v>5.0999999999999996</v>
      </c>
      <c r="G25" s="318" t="str">
        <f t="shared" si="2"/>
        <v xml:space="preserve">Inpatient Composite Score - 70% or greater of measures at or better than target                                                          </v>
      </c>
      <c r="H25" s="344"/>
      <c r="I25" s="351">
        <f>I24</f>
        <v>0.7</v>
      </c>
    </row>
    <row r="26" spans="1:9" s="345" customFormat="1" ht="15" x14ac:dyDescent="0.25">
      <c r="A26" s="318">
        <v>2</v>
      </c>
      <c r="B26" s="316" t="s">
        <v>7</v>
      </c>
      <c r="C26" s="316" t="s">
        <v>274</v>
      </c>
      <c r="D26" s="316">
        <f t="shared" si="2"/>
        <v>5</v>
      </c>
      <c r="E26" s="317" t="str">
        <f t="shared" si="2"/>
        <v>Improve Inpatient Quality and Safety</v>
      </c>
      <c r="F26" s="343">
        <f t="shared" si="2"/>
        <v>5.0999999999999996</v>
      </c>
      <c r="G26" s="318" t="str">
        <f t="shared" si="2"/>
        <v xml:space="preserve">Inpatient Composite Score - 70% or greater of measures at or better than target                                                          </v>
      </c>
      <c r="H26" s="346"/>
      <c r="I26" s="351">
        <f>I25</f>
        <v>0.7</v>
      </c>
    </row>
    <row r="27" spans="1:9" s="326" customFormat="1" ht="15" x14ac:dyDescent="0.25">
      <c r="A27" s="310">
        <v>2</v>
      </c>
      <c r="B27" s="309" t="s">
        <v>7</v>
      </c>
      <c r="C27" s="309" t="s">
        <v>492</v>
      </c>
      <c r="D27" s="309">
        <v>6</v>
      </c>
      <c r="E27" s="319" t="s">
        <v>510</v>
      </c>
      <c r="F27" s="333">
        <v>6.1</v>
      </c>
      <c r="G27" s="310" t="s">
        <v>1328</v>
      </c>
      <c r="H27" s="331"/>
      <c r="I27" s="350">
        <v>0.7</v>
      </c>
    </row>
    <row r="28" spans="1:9" s="345" customFormat="1" ht="15" x14ac:dyDescent="0.25">
      <c r="A28" s="318">
        <v>2</v>
      </c>
      <c r="B28" s="316" t="s">
        <v>7</v>
      </c>
      <c r="C28" s="316" t="s">
        <v>494</v>
      </c>
      <c r="D28" s="316">
        <f t="shared" ref="D28:G30" si="3">D27</f>
        <v>6</v>
      </c>
      <c r="E28" s="317" t="str">
        <f t="shared" si="3"/>
        <v>Achieve ambulatory quality and performance targets per federal and clinical contracts</v>
      </c>
      <c r="F28" s="343">
        <f t="shared" si="3"/>
        <v>6.1</v>
      </c>
      <c r="G28" s="318" t="str">
        <f t="shared" si="3"/>
        <v>Adult Paneled Primary Care Composite Score</v>
      </c>
      <c r="H28" s="344"/>
      <c r="I28" s="351">
        <f>I27</f>
        <v>0.7</v>
      </c>
    </row>
    <row r="29" spans="1:9" s="345" customFormat="1" ht="15" x14ac:dyDescent="0.25">
      <c r="A29" s="318">
        <v>2</v>
      </c>
      <c r="B29" s="316" t="s">
        <v>7</v>
      </c>
      <c r="C29" s="316" t="s">
        <v>274</v>
      </c>
      <c r="D29" s="316">
        <f t="shared" si="3"/>
        <v>6</v>
      </c>
      <c r="E29" s="317" t="str">
        <f t="shared" si="3"/>
        <v>Achieve ambulatory quality and performance targets per federal and clinical contracts</v>
      </c>
      <c r="F29" s="343">
        <f t="shared" si="3"/>
        <v>6.1</v>
      </c>
      <c r="G29" s="318" t="str">
        <f t="shared" si="3"/>
        <v>Adult Paneled Primary Care Composite Score</v>
      </c>
      <c r="H29" s="346"/>
      <c r="I29" s="351">
        <f>I28</f>
        <v>0.7</v>
      </c>
    </row>
    <row r="30" spans="1:9" s="345" customFormat="1" ht="15" x14ac:dyDescent="0.25">
      <c r="A30" s="318">
        <v>2</v>
      </c>
      <c r="B30" s="316" t="s">
        <v>7</v>
      </c>
      <c r="C30" s="316" t="s">
        <v>496</v>
      </c>
      <c r="D30" s="316">
        <f t="shared" si="3"/>
        <v>6</v>
      </c>
      <c r="E30" s="317" t="str">
        <f t="shared" si="3"/>
        <v>Achieve ambulatory quality and performance targets per federal and clinical contracts</v>
      </c>
      <c r="F30" s="343">
        <f t="shared" si="3"/>
        <v>6.1</v>
      </c>
      <c r="G30" s="318" t="str">
        <f t="shared" si="3"/>
        <v>Adult Paneled Primary Care Composite Score</v>
      </c>
      <c r="H30" s="346"/>
      <c r="I30" s="351">
        <f>I29</f>
        <v>0.7</v>
      </c>
    </row>
    <row r="31" spans="1:9" s="812" customFormat="1" ht="15" x14ac:dyDescent="0.25">
      <c r="A31" s="805">
        <v>2</v>
      </c>
      <c r="B31" s="804" t="s">
        <v>7</v>
      </c>
      <c r="C31" s="804" t="s">
        <v>492</v>
      </c>
      <c r="D31" s="804">
        <v>7</v>
      </c>
      <c r="E31" s="810" t="s">
        <v>510</v>
      </c>
      <c r="F31" s="814">
        <v>7.1</v>
      </c>
      <c r="G31" s="805" t="s">
        <v>1329</v>
      </c>
      <c r="H31" s="813"/>
      <c r="I31" s="350">
        <v>0.7</v>
      </c>
    </row>
    <row r="32" spans="1:9" s="817" customFormat="1" ht="15" x14ac:dyDescent="0.25">
      <c r="A32" s="809">
        <v>2</v>
      </c>
      <c r="B32" s="807" t="s">
        <v>7</v>
      </c>
      <c r="C32" s="807" t="s">
        <v>494</v>
      </c>
      <c r="D32" s="807">
        <f t="shared" ref="D32:G32" si="4">D31</f>
        <v>7</v>
      </c>
      <c r="E32" s="808" t="str">
        <f t="shared" si="4"/>
        <v>Achieve ambulatory quality and performance targets per federal and clinical contracts</v>
      </c>
      <c r="F32" s="815">
        <f t="shared" si="4"/>
        <v>7.1</v>
      </c>
      <c r="G32" s="809" t="str">
        <f t="shared" si="4"/>
        <v>Pediatric Paneled Primary Care Composite Score</v>
      </c>
      <c r="H32" s="816"/>
      <c r="I32" s="351">
        <f>I31</f>
        <v>0.7</v>
      </c>
    </row>
    <row r="33" spans="1:9" s="812" customFormat="1" ht="15" x14ac:dyDescent="0.25">
      <c r="A33" s="805">
        <v>2</v>
      </c>
      <c r="B33" s="804" t="s">
        <v>7</v>
      </c>
      <c r="C33" s="804" t="s">
        <v>492</v>
      </c>
      <c r="D33" s="804">
        <v>8</v>
      </c>
      <c r="E33" s="810" t="s">
        <v>510</v>
      </c>
      <c r="F33" s="814">
        <v>8.1</v>
      </c>
      <c r="G33" s="805" t="s">
        <v>1331</v>
      </c>
      <c r="H33" s="813"/>
      <c r="I33" s="350">
        <v>0.8</v>
      </c>
    </row>
    <row r="34" spans="1:9" s="817" customFormat="1" ht="15" x14ac:dyDescent="0.25">
      <c r="A34" s="809">
        <v>2</v>
      </c>
      <c r="B34" s="807" t="s">
        <v>7</v>
      </c>
      <c r="C34" s="807" t="s">
        <v>494</v>
      </c>
      <c r="D34" s="807">
        <f t="shared" ref="D34:G34" si="5">D33</f>
        <v>8</v>
      </c>
      <c r="E34" s="808" t="str">
        <f t="shared" si="5"/>
        <v>Achieve ambulatory quality and performance targets per federal and clinical contracts</v>
      </c>
      <c r="F34" s="815">
        <f t="shared" si="5"/>
        <v>8.1</v>
      </c>
      <c r="G34" s="809" t="str">
        <f t="shared" si="5"/>
        <v>Value Based Contract Composite Score</v>
      </c>
      <c r="H34" s="816"/>
      <c r="I34" s="351">
        <f>I33</f>
        <v>0.8</v>
      </c>
    </row>
    <row r="35" spans="1:9" s="817" customFormat="1" ht="15" x14ac:dyDescent="0.25">
      <c r="A35" s="809">
        <v>2</v>
      </c>
      <c r="B35" s="807" t="s">
        <v>7</v>
      </c>
      <c r="C35" s="807" t="s">
        <v>274</v>
      </c>
      <c r="D35" s="807">
        <f t="shared" ref="D35:G35" si="6">D34</f>
        <v>8</v>
      </c>
      <c r="E35" s="808" t="str">
        <f t="shared" si="6"/>
        <v>Achieve ambulatory quality and performance targets per federal and clinical contracts</v>
      </c>
      <c r="F35" s="815">
        <f t="shared" si="6"/>
        <v>8.1</v>
      </c>
      <c r="G35" s="809" t="str">
        <f t="shared" si="6"/>
        <v>Value Based Contract Composite Score</v>
      </c>
      <c r="H35" s="818"/>
      <c r="I35" s="351">
        <f>I34</f>
        <v>0.8</v>
      </c>
    </row>
    <row r="36" spans="1:9" s="817" customFormat="1" ht="15" x14ac:dyDescent="0.25">
      <c r="A36" s="809">
        <v>2</v>
      </c>
      <c r="B36" s="807" t="s">
        <v>7</v>
      </c>
      <c r="C36" s="807" t="s">
        <v>496</v>
      </c>
      <c r="D36" s="807">
        <f t="shared" ref="D36:G36" si="7">D35</f>
        <v>8</v>
      </c>
      <c r="E36" s="808" t="str">
        <f t="shared" si="7"/>
        <v>Achieve ambulatory quality and performance targets per federal and clinical contracts</v>
      </c>
      <c r="F36" s="815">
        <f t="shared" si="7"/>
        <v>8.1</v>
      </c>
      <c r="G36" s="809" t="str">
        <f t="shared" si="7"/>
        <v>Value Based Contract Composite Score</v>
      </c>
      <c r="H36" s="818"/>
      <c r="I36" s="351">
        <f>I35</f>
        <v>0.8</v>
      </c>
    </row>
    <row r="37" spans="1:9" s="326" customFormat="1" ht="15" x14ac:dyDescent="0.25">
      <c r="A37" s="310">
        <v>3</v>
      </c>
      <c r="B37" s="309" t="s">
        <v>2</v>
      </c>
      <c r="C37" s="309" t="s">
        <v>492</v>
      </c>
      <c r="D37" s="309">
        <v>8</v>
      </c>
      <c r="E37" s="315" t="s">
        <v>8</v>
      </c>
      <c r="F37" s="333">
        <v>8.1</v>
      </c>
      <c r="G37" s="310" t="s">
        <v>1269</v>
      </c>
      <c r="H37" s="331"/>
      <c r="I37" s="361" t="str">
        <f>ROUND('Service Metric by Entity_Dept'!C4,0) &amp; "%tile"</f>
        <v>38%tile</v>
      </c>
    </row>
    <row r="38" spans="1:9" s="321" customFormat="1" ht="15" x14ac:dyDescent="0.2">
      <c r="A38" s="321">
        <v>3</v>
      </c>
      <c r="B38" s="321" t="s">
        <v>2</v>
      </c>
      <c r="C38" s="321" t="s">
        <v>494</v>
      </c>
      <c r="D38" s="352">
        <f>D37</f>
        <v>8</v>
      </c>
      <c r="E38" s="321" t="s">
        <v>8</v>
      </c>
      <c r="F38" s="352">
        <f>F37</f>
        <v>8.1</v>
      </c>
      <c r="G38" s="321" t="str">
        <f>G37</f>
        <v>Recommend the hospital for HCAHPS</v>
      </c>
      <c r="I38" s="321" t="str">
        <f>'Service Metric by Entity_Dept'!C5 &amp; "%tile"</f>
        <v>34%tile</v>
      </c>
    </row>
    <row r="39" spans="1:9" s="321" customFormat="1" ht="15" x14ac:dyDescent="0.2">
      <c r="A39" s="321">
        <v>3</v>
      </c>
      <c r="B39" s="321" t="s">
        <v>2</v>
      </c>
      <c r="C39" s="321" t="s">
        <v>274</v>
      </c>
      <c r="D39" s="352">
        <f>D38</f>
        <v>8</v>
      </c>
      <c r="E39" s="321" t="s">
        <v>8</v>
      </c>
      <c r="F39" s="352">
        <f>F38</f>
        <v>8.1</v>
      </c>
      <c r="G39" s="321" t="str">
        <f>G38</f>
        <v>Recommend the hospital for HCAHPS</v>
      </c>
      <c r="I39" s="321" t="str">
        <f>'Service Metric by Entity_Dept'!C6 &amp; "%tile"</f>
        <v>75%tile</v>
      </c>
    </row>
    <row r="40" spans="1:9" s="326" customFormat="1" ht="15" x14ac:dyDescent="0.25">
      <c r="A40" s="310">
        <v>3</v>
      </c>
      <c r="B40" s="309" t="s">
        <v>2</v>
      </c>
      <c r="C40" s="309" t="s">
        <v>492</v>
      </c>
      <c r="D40" s="309">
        <v>9</v>
      </c>
      <c r="E40" s="309" t="s">
        <v>9</v>
      </c>
      <c r="F40" s="333">
        <v>9.1</v>
      </c>
      <c r="G40" s="310" t="s">
        <v>1348</v>
      </c>
      <c r="H40" s="331" t="s">
        <v>499</v>
      </c>
      <c r="I40" s="322" t="str">
        <f>ROUND('Service Metric by Entity_Dept'!G4,0) &amp; "%tile"</f>
        <v>31%tile</v>
      </c>
    </row>
    <row r="41" spans="1:9" s="320" customFormat="1" ht="15" x14ac:dyDescent="0.2">
      <c r="A41" s="320">
        <v>3</v>
      </c>
      <c r="B41" s="320" t="s">
        <v>2</v>
      </c>
      <c r="C41" s="320" t="s">
        <v>494</v>
      </c>
      <c r="D41" s="320">
        <f>D40</f>
        <v>9</v>
      </c>
      <c r="E41" s="320" t="s">
        <v>9</v>
      </c>
      <c r="F41" s="320">
        <f>F40</f>
        <v>9.1</v>
      </c>
      <c r="G41" s="320" t="str">
        <f>G40</f>
        <v>Likelihood of recommending this practice for Press Ganey</v>
      </c>
      <c r="I41" s="320" t="str">
        <f>'Service Metric by Entity_Dept'!G5 &amp; "%tile"</f>
        <v>27%tile</v>
      </c>
    </row>
    <row r="42" spans="1:9" s="320" customFormat="1" ht="15" x14ac:dyDescent="0.2">
      <c r="A42" s="320">
        <v>3</v>
      </c>
      <c r="B42" s="320" t="s">
        <v>2</v>
      </c>
      <c r="C42" s="320" t="s">
        <v>274</v>
      </c>
      <c r="D42" s="320">
        <f t="shared" ref="D42:D43" si="8">D41</f>
        <v>9</v>
      </c>
      <c r="E42" s="320" t="s">
        <v>9</v>
      </c>
      <c r="F42" s="320">
        <f t="shared" ref="F42:G43" si="9">F41</f>
        <v>9.1</v>
      </c>
      <c r="G42" s="320" t="str">
        <f t="shared" si="9"/>
        <v>Likelihood of recommending this practice for Press Ganey</v>
      </c>
      <c r="I42" s="320" t="str">
        <f>'Service Metric by Entity_Dept'!G6 &amp; "%tile"</f>
        <v>32%tile</v>
      </c>
    </row>
    <row r="43" spans="1:9" s="320" customFormat="1" ht="15" x14ac:dyDescent="0.2">
      <c r="A43" s="320">
        <v>3</v>
      </c>
      <c r="B43" s="320" t="s">
        <v>2</v>
      </c>
      <c r="C43" s="320" t="s">
        <v>496</v>
      </c>
      <c r="D43" s="320">
        <f t="shared" si="8"/>
        <v>9</v>
      </c>
      <c r="E43" s="320" t="s">
        <v>9</v>
      </c>
      <c r="F43" s="320">
        <f t="shared" si="9"/>
        <v>9.1</v>
      </c>
      <c r="G43" s="320" t="str">
        <f t="shared" si="9"/>
        <v>Likelihood of recommending this practice for Press Ganey</v>
      </c>
      <c r="H43" s="320" t="s">
        <v>499</v>
      </c>
      <c r="I43" s="320" t="str">
        <f>'Service Metric by Entity_Dept'!G7 &amp; "%tile"</f>
        <v>75%tile</v>
      </c>
    </row>
    <row r="44" spans="1:9" s="326" customFormat="1" ht="15" x14ac:dyDescent="0.25">
      <c r="A44" s="310">
        <v>4</v>
      </c>
      <c r="B44" s="309" t="s">
        <v>3</v>
      </c>
      <c r="C44" s="309" t="s">
        <v>492</v>
      </c>
      <c r="D44" s="309">
        <v>10</v>
      </c>
      <c r="E44" s="309" t="s">
        <v>360</v>
      </c>
      <c r="F44" s="333">
        <v>10.1</v>
      </c>
      <c r="G44" s="310" t="s">
        <v>505</v>
      </c>
      <c r="H44" s="331" t="s">
        <v>499</v>
      </c>
      <c r="I44" s="322" t="s">
        <v>1264</v>
      </c>
    </row>
    <row r="45" spans="1:9" s="323" customFormat="1" ht="15" x14ac:dyDescent="0.2">
      <c r="A45" s="323">
        <v>4</v>
      </c>
      <c r="B45" s="323" t="s">
        <v>3</v>
      </c>
      <c r="C45" s="323" t="s">
        <v>494</v>
      </c>
      <c r="D45" s="323">
        <f>D44</f>
        <v>10</v>
      </c>
      <c r="E45" s="323" t="str">
        <f>E44</f>
        <v>Improve Staff and Faculty engagement and satisfaction</v>
      </c>
      <c r="F45" s="323">
        <f>F44</f>
        <v>10.1</v>
      </c>
      <c r="G45" s="323" t="str">
        <f>G44</f>
        <v>Improve Employee Satisfaction Scores</v>
      </c>
      <c r="I45" s="323" t="str">
        <f>I44</f>
        <v>75% Response Rate</v>
      </c>
    </row>
    <row r="46" spans="1:9" s="323" customFormat="1" ht="15" x14ac:dyDescent="0.2">
      <c r="A46" s="323">
        <v>5</v>
      </c>
      <c r="B46" s="323" t="s">
        <v>3</v>
      </c>
      <c r="C46" s="323" t="s">
        <v>274</v>
      </c>
      <c r="D46" s="323">
        <f t="shared" ref="D46:D47" si="10">D45</f>
        <v>10</v>
      </c>
      <c r="E46" s="323" t="str">
        <f t="shared" ref="E46:E47" si="11">E45</f>
        <v>Improve Staff and Faculty engagement and satisfaction</v>
      </c>
      <c r="F46" s="323">
        <f t="shared" ref="F46:F47" si="12">F45</f>
        <v>10.1</v>
      </c>
      <c r="G46" s="323" t="str">
        <f>G45</f>
        <v>Improve Employee Satisfaction Scores</v>
      </c>
      <c r="I46" s="323" t="str">
        <f>I45</f>
        <v>75% Response Rate</v>
      </c>
    </row>
    <row r="47" spans="1:9" s="323" customFormat="1" ht="15" x14ac:dyDescent="0.2">
      <c r="A47" s="323">
        <v>4</v>
      </c>
      <c r="B47" s="323" t="s">
        <v>3</v>
      </c>
      <c r="C47" s="323" t="s">
        <v>496</v>
      </c>
      <c r="D47" s="323">
        <f t="shared" si="10"/>
        <v>10</v>
      </c>
      <c r="E47" s="323" t="str">
        <f t="shared" si="11"/>
        <v>Improve Staff and Faculty engagement and satisfaction</v>
      </c>
      <c r="F47" s="323">
        <f t="shared" si="12"/>
        <v>10.1</v>
      </c>
      <c r="G47" s="323" t="str">
        <f>G46</f>
        <v>Improve Employee Satisfaction Scores</v>
      </c>
      <c r="H47" s="323" t="s">
        <v>499</v>
      </c>
      <c r="I47" s="323" t="str">
        <f>I46</f>
        <v>75% Response Rate</v>
      </c>
    </row>
    <row r="48" spans="1:9" s="326" customFormat="1" ht="15" x14ac:dyDescent="0.25">
      <c r="A48" s="310">
        <v>4</v>
      </c>
      <c r="B48" s="309" t="s">
        <v>3</v>
      </c>
      <c r="C48" s="309" t="s">
        <v>492</v>
      </c>
      <c r="D48" s="309">
        <v>10</v>
      </c>
      <c r="E48" s="309" t="s">
        <v>360</v>
      </c>
      <c r="F48" s="333">
        <v>10.199999999999999</v>
      </c>
      <c r="G48" s="310" t="s">
        <v>506</v>
      </c>
      <c r="H48" s="331" t="s">
        <v>499</v>
      </c>
      <c r="I48" s="322" t="s">
        <v>1265</v>
      </c>
    </row>
    <row r="49" spans="1:9" s="323" customFormat="1" ht="15" x14ac:dyDescent="0.2">
      <c r="A49" s="323">
        <v>4</v>
      </c>
      <c r="B49" s="323" t="s">
        <v>3</v>
      </c>
      <c r="C49" s="323" t="s">
        <v>494</v>
      </c>
      <c r="D49" s="323">
        <f>D48</f>
        <v>10</v>
      </c>
      <c r="E49" s="323" t="str">
        <f>E48</f>
        <v>Improve Staff and Faculty engagement and satisfaction</v>
      </c>
      <c r="F49" s="323">
        <f>F48</f>
        <v>10.199999999999999</v>
      </c>
      <c r="G49" s="323" t="str">
        <f>G48</f>
        <v>Improve Provider Satisfaction Scores</v>
      </c>
      <c r="I49" s="323" t="str">
        <f>I48</f>
        <v>51% Response Rate</v>
      </c>
    </row>
    <row r="50" spans="1:9" s="323" customFormat="1" ht="15" x14ac:dyDescent="0.2">
      <c r="A50" s="323">
        <v>5</v>
      </c>
      <c r="B50" s="323" t="s">
        <v>3</v>
      </c>
      <c r="C50" s="323" t="s">
        <v>274</v>
      </c>
      <c r="D50" s="323">
        <f t="shared" ref="D50:D51" si="13">D49</f>
        <v>10</v>
      </c>
      <c r="E50" s="323" t="str">
        <f t="shared" ref="E50:E51" si="14">E49</f>
        <v>Improve Staff and Faculty engagement and satisfaction</v>
      </c>
      <c r="F50" s="323">
        <f t="shared" ref="F50:F51" si="15">F49</f>
        <v>10.199999999999999</v>
      </c>
      <c r="G50" s="323" t="str">
        <f>G49</f>
        <v>Improve Provider Satisfaction Scores</v>
      </c>
      <c r="I50" s="323" t="str">
        <f>I49</f>
        <v>51% Response Rate</v>
      </c>
    </row>
    <row r="51" spans="1:9" s="323" customFormat="1" ht="15" x14ac:dyDescent="0.2">
      <c r="A51" s="323">
        <v>4</v>
      </c>
      <c r="B51" s="323" t="s">
        <v>3</v>
      </c>
      <c r="C51" s="323" t="s">
        <v>496</v>
      </c>
      <c r="D51" s="323">
        <f t="shared" si="13"/>
        <v>10</v>
      </c>
      <c r="E51" s="323" t="str">
        <f t="shared" si="14"/>
        <v>Improve Staff and Faculty engagement and satisfaction</v>
      </c>
      <c r="F51" s="323">
        <f t="shared" si="15"/>
        <v>10.199999999999999</v>
      </c>
      <c r="G51" s="323" t="str">
        <f>G50</f>
        <v>Improve Provider Satisfaction Scores</v>
      </c>
      <c r="H51" s="323" t="s">
        <v>499</v>
      </c>
      <c r="I51" s="323" t="str">
        <f>I50</f>
        <v>51% Response Rate</v>
      </c>
    </row>
    <row r="52" spans="1:9" s="326" customFormat="1" ht="15" x14ac:dyDescent="0.25">
      <c r="A52" s="310">
        <v>5</v>
      </c>
      <c r="B52" s="309" t="s">
        <v>4</v>
      </c>
      <c r="C52" s="309" t="s">
        <v>492</v>
      </c>
      <c r="D52" s="309">
        <v>11</v>
      </c>
      <c r="E52" s="314" t="s">
        <v>1</v>
      </c>
      <c r="F52" s="333">
        <v>11.1</v>
      </c>
      <c r="G52" s="310" t="s">
        <v>1270</v>
      </c>
      <c r="H52" s="331"/>
      <c r="I52" s="354">
        <f>'Finance Metric by Entity_Dept'!W4</f>
        <v>3.1199843603063491E-3</v>
      </c>
    </row>
    <row r="53" spans="1:9" s="324" customFormat="1" ht="15" x14ac:dyDescent="0.2">
      <c r="A53" s="324">
        <v>5</v>
      </c>
      <c r="B53" s="324" t="s">
        <v>4</v>
      </c>
      <c r="C53" s="324" t="s">
        <v>494</v>
      </c>
      <c r="D53" s="324">
        <f>D52</f>
        <v>11</v>
      </c>
      <c r="E53" s="324" t="s">
        <v>1</v>
      </c>
      <c r="F53" s="324">
        <f t="shared" ref="F53:G55" si="16">F52</f>
        <v>11.1</v>
      </c>
      <c r="G53" s="324" t="str">
        <f t="shared" si="16"/>
        <v>Achieve Net Margin Budget</v>
      </c>
      <c r="I53" s="355">
        <f>'Finance Metric by Entity_Dept'!W5</f>
        <v>4.0498095432516647E-3</v>
      </c>
    </row>
    <row r="54" spans="1:9" s="324" customFormat="1" ht="15" x14ac:dyDescent="0.2">
      <c r="A54" s="324">
        <v>5</v>
      </c>
      <c r="B54" s="324" t="s">
        <v>4</v>
      </c>
      <c r="C54" s="324" t="s">
        <v>274</v>
      </c>
      <c r="D54" s="324">
        <f>D53</f>
        <v>11</v>
      </c>
      <c r="E54" s="324" t="s">
        <v>1</v>
      </c>
      <c r="F54" s="324">
        <f t="shared" si="16"/>
        <v>11.1</v>
      </c>
      <c r="G54" s="324" t="str">
        <f t="shared" si="16"/>
        <v>Achieve Net Margin Budget</v>
      </c>
      <c r="I54" s="355">
        <f>'Finance Metric by Entity_Dept'!W6</f>
        <v>3.396902640778456E-4</v>
      </c>
    </row>
    <row r="55" spans="1:9" s="324" customFormat="1" ht="15" x14ac:dyDescent="0.2">
      <c r="A55" s="324">
        <v>5</v>
      </c>
      <c r="B55" s="324" t="s">
        <v>4</v>
      </c>
      <c r="C55" s="324" t="s">
        <v>496</v>
      </c>
      <c r="D55" s="324">
        <f>D54</f>
        <v>11</v>
      </c>
      <c r="E55" s="324" t="s">
        <v>1</v>
      </c>
      <c r="F55" s="324">
        <f t="shared" si="16"/>
        <v>11.1</v>
      </c>
      <c r="G55" s="324" t="str">
        <f t="shared" si="16"/>
        <v>Achieve Net Margin Budget</v>
      </c>
      <c r="I55" s="355">
        <f>'Finance Metric by Entity_Dept'!W7</f>
        <v>-1.924400637464918E-6</v>
      </c>
    </row>
    <row r="56" spans="1:9" s="812" customFormat="1" ht="15" x14ac:dyDescent="0.25">
      <c r="A56" s="805">
        <v>5</v>
      </c>
      <c r="B56" s="804" t="s">
        <v>27</v>
      </c>
      <c r="C56" s="804" t="s">
        <v>492</v>
      </c>
      <c r="D56" s="804">
        <v>12</v>
      </c>
      <c r="E56" s="806" t="s">
        <v>1318</v>
      </c>
      <c r="F56" s="814">
        <v>12.1</v>
      </c>
      <c r="G56" s="805" t="s">
        <v>1320</v>
      </c>
      <c r="H56" s="813"/>
      <c r="I56" s="831">
        <f>'Academic Metrics'!$C$5</f>
        <v>0.87</v>
      </c>
    </row>
    <row r="57" spans="1:9" s="786" customFormat="1" ht="15" x14ac:dyDescent="0.2">
      <c r="A57" s="786">
        <v>5</v>
      </c>
      <c r="B57" s="786" t="str">
        <f>B56</f>
        <v>Academic</v>
      </c>
      <c r="C57" s="786" t="s">
        <v>494</v>
      </c>
      <c r="D57" s="786">
        <f t="shared" ref="D57:E59" si="17">D56</f>
        <v>12</v>
      </c>
      <c r="E57" s="786" t="str">
        <f t="shared" si="17"/>
        <v>Excellent CLER &amp; ACGME Outcomes</v>
      </c>
      <c r="F57" s="786">
        <f t="shared" ref="F57:G57" si="18">F56</f>
        <v>12.1</v>
      </c>
      <c r="G57" s="786" t="str">
        <f t="shared" si="18"/>
        <v>Increase "residents can raise concerns without fear" by 5%</v>
      </c>
      <c r="I57" s="832">
        <f>'Academic Metrics'!$C$5</f>
        <v>0.87</v>
      </c>
    </row>
    <row r="58" spans="1:9" s="786" customFormat="1" ht="15" x14ac:dyDescent="0.2">
      <c r="A58" s="786">
        <v>5</v>
      </c>
      <c r="B58" s="786" t="str">
        <f>B57</f>
        <v>Academic</v>
      </c>
      <c r="C58" s="786" t="s">
        <v>274</v>
      </c>
      <c r="D58" s="786">
        <f t="shared" si="17"/>
        <v>12</v>
      </c>
      <c r="E58" s="786" t="str">
        <f t="shared" si="17"/>
        <v>Excellent CLER &amp; ACGME Outcomes</v>
      </c>
      <c r="F58" s="786">
        <f t="shared" ref="F58:G58" si="19">F57</f>
        <v>12.1</v>
      </c>
      <c r="G58" s="786" t="str">
        <f t="shared" si="19"/>
        <v>Increase "residents can raise concerns without fear" by 5%</v>
      </c>
      <c r="I58" s="832">
        <f>'Academic Metrics'!$C$5</f>
        <v>0.87</v>
      </c>
    </row>
    <row r="59" spans="1:9" s="786" customFormat="1" ht="15" x14ac:dyDescent="0.2">
      <c r="A59" s="786">
        <v>5</v>
      </c>
      <c r="B59" s="786" t="str">
        <f>B58</f>
        <v>Academic</v>
      </c>
      <c r="C59" s="786" t="s">
        <v>496</v>
      </c>
      <c r="D59" s="786">
        <f t="shared" si="17"/>
        <v>12</v>
      </c>
      <c r="E59" s="786" t="str">
        <f t="shared" si="17"/>
        <v>Excellent CLER &amp; ACGME Outcomes</v>
      </c>
      <c r="F59" s="786">
        <f t="shared" ref="F59:G59" si="20">F58</f>
        <v>12.1</v>
      </c>
      <c r="G59" s="786" t="str">
        <f t="shared" si="20"/>
        <v>Increase "residents can raise concerns without fear" by 5%</v>
      </c>
      <c r="I59" s="832">
        <f>'Academic Metrics'!$C$5</f>
        <v>0.87</v>
      </c>
    </row>
    <row r="60" spans="1:9" s="812" customFormat="1" ht="15" x14ac:dyDescent="0.25">
      <c r="A60" s="805">
        <v>5</v>
      </c>
      <c r="B60" s="804" t="s">
        <v>27</v>
      </c>
      <c r="C60" s="804" t="s">
        <v>492</v>
      </c>
      <c r="D60" s="804">
        <v>12</v>
      </c>
      <c r="E60" s="806" t="s">
        <v>1318</v>
      </c>
      <c r="F60" s="814">
        <v>12.2</v>
      </c>
      <c r="G60" s="805" t="s">
        <v>1321</v>
      </c>
      <c r="H60" s="813"/>
      <c r="I60" s="831">
        <f>'Academic Metrics'!$G$5</f>
        <v>0.83000000000000007</v>
      </c>
    </row>
    <row r="61" spans="1:9" s="786" customFormat="1" ht="15" x14ac:dyDescent="0.2">
      <c r="A61" s="786">
        <v>5</v>
      </c>
      <c r="B61" s="786" t="str">
        <f>B60</f>
        <v>Academic</v>
      </c>
      <c r="C61" s="786" t="s">
        <v>494</v>
      </c>
      <c r="D61" s="786">
        <f t="shared" ref="D61:E63" si="21">D60</f>
        <v>12</v>
      </c>
      <c r="E61" s="786" t="str">
        <f t="shared" si="21"/>
        <v>Excellent CLER &amp; ACGME Outcomes</v>
      </c>
      <c r="F61" s="786">
        <f t="shared" ref="F61:G61" si="22">F60</f>
        <v>12.2</v>
      </c>
      <c r="G61" s="786" t="str">
        <f t="shared" si="22"/>
        <v>Increase "residents satisfied with process to deal with problems and concerns" by 5%</v>
      </c>
      <c r="I61" s="832">
        <f>'Academic Metrics'!$G$5</f>
        <v>0.83000000000000007</v>
      </c>
    </row>
    <row r="62" spans="1:9" s="786" customFormat="1" ht="15" x14ac:dyDescent="0.2">
      <c r="A62" s="786">
        <v>5</v>
      </c>
      <c r="B62" s="786" t="str">
        <f>B61</f>
        <v>Academic</v>
      </c>
      <c r="C62" s="786" t="s">
        <v>274</v>
      </c>
      <c r="D62" s="786">
        <f t="shared" si="21"/>
        <v>12</v>
      </c>
      <c r="E62" s="786" t="str">
        <f t="shared" si="21"/>
        <v>Excellent CLER &amp; ACGME Outcomes</v>
      </c>
      <c r="F62" s="786">
        <f t="shared" ref="F62:G62" si="23">F61</f>
        <v>12.2</v>
      </c>
      <c r="G62" s="786" t="str">
        <f t="shared" si="23"/>
        <v>Increase "residents satisfied with process to deal with problems and concerns" by 5%</v>
      </c>
      <c r="I62" s="832">
        <f>'Academic Metrics'!$G$5</f>
        <v>0.83000000000000007</v>
      </c>
    </row>
    <row r="63" spans="1:9" s="786" customFormat="1" ht="15" x14ac:dyDescent="0.2">
      <c r="A63" s="786">
        <v>5</v>
      </c>
      <c r="B63" s="786" t="str">
        <f>B62</f>
        <v>Academic</v>
      </c>
      <c r="C63" s="786" t="s">
        <v>496</v>
      </c>
      <c r="D63" s="786">
        <f t="shared" si="21"/>
        <v>12</v>
      </c>
      <c r="E63" s="786" t="str">
        <f t="shared" si="21"/>
        <v>Excellent CLER &amp; ACGME Outcomes</v>
      </c>
      <c r="F63" s="786">
        <f t="shared" ref="F63:G63" si="24">F62</f>
        <v>12.2</v>
      </c>
      <c r="G63" s="786" t="str">
        <f t="shared" si="24"/>
        <v>Increase "residents satisfied with process to deal with problems and concerns" by 5%</v>
      </c>
      <c r="I63" s="832">
        <f>'Academic Metrics'!$G$5</f>
        <v>0.83000000000000007</v>
      </c>
    </row>
    <row r="64" spans="1:9" s="812" customFormat="1" ht="15" x14ac:dyDescent="0.25">
      <c r="A64" s="805">
        <v>5</v>
      </c>
      <c r="B64" s="804" t="s">
        <v>27</v>
      </c>
      <c r="C64" s="804" t="s">
        <v>492</v>
      </c>
      <c r="D64" s="804">
        <v>12</v>
      </c>
      <c r="E64" s="806" t="s">
        <v>1318</v>
      </c>
      <c r="F64" s="814">
        <v>12.3</v>
      </c>
      <c r="G64" s="805" t="s">
        <v>1322</v>
      </c>
      <c r="H64" s="813"/>
      <c r="I64" s="831">
        <f>'Academic Metrics'!$K$5</f>
        <v>0.77</v>
      </c>
    </row>
    <row r="65" spans="1:9" s="786" customFormat="1" ht="15" x14ac:dyDescent="0.2">
      <c r="A65" s="786">
        <v>5</v>
      </c>
      <c r="B65" s="786" t="str">
        <f>B64</f>
        <v>Academic</v>
      </c>
      <c r="C65" s="786" t="s">
        <v>494</v>
      </c>
      <c r="D65" s="786">
        <f t="shared" ref="D65:E67" si="25">D64</f>
        <v>12</v>
      </c>
      <c r="E65" s="786" t="str">
        <f t="shared" si="25"/>
        <v>Excellent CLER &amp; ACGME Outcomes</v>
      </c>
      <c r="F65" s="786">
        <f t="shared" ref="F65:G65" si="26">F64</f>
        <v>12.3</v>
      </c>
      <c r="G65" s="786" t="str">
        <f t="shared" si="26"/>
        <v>Increase "residents' education (not) compromised by excessive reliance on non-physician obligations" by 5%</v>
      </c>
      <c r="I65" s="832">
        <f>'Academic Metrics'!$K$5</f>
        <v>0.77</v>
      </c>
    </row>
    <row r="66" spans="1:9" s="786" customFormat="1" ht="15" x14ac:dyDescent="0.2">
      <c r="A66" s="786">
        <v>5</v>
      </c>
      <c r="B66" s="786" t="str">
        <f>B65</f>
        <v>Academic</v>
      </c>
      <c r="C66" s="786" t="s">
        <v>274</v>
      </c>
      <c r="D66" s="786">
        <f t="shared" si="25"/>
        <v>12</v>
      </c>
      <c r="E66" s="786" t="str">
        <f t="shared" si="25"/>
        <v>Excellent CLER &amp; ACGME Outcomes</v>
      </c>
      <c r="F66" s="786">
        <f t="shared" ref="F66:G66" si="27">F65</f>
        <v>12.3</v>
      </c>
      <c r="G66" s="786" t="str">
        <f t="shared" si="27"/>
        <v>Increase "residents' education (not) compromised by excessive reliance on non-physician obligations" by 5%</v>
      </c>
      <c r="I66" s="832">
        <f>'Academic Metrics'!$K$5</f>
        <v>0.77</v>
      </c>
    </row>
    <row r="67" spans="1:9" s="786" customFormat="1" ht="15" x14ac:dyDescent="0.2">
      <c r="A67" s="786">
        <v>5</v>
      </c>
      <c r="B67" s="786" t="str">
        <f>B66</f>
        <v>Academic</v>
      </c>
      <c r="C67" s="786" t="s">
        <v>496</v>
      </c>
      <c r="D67" s="786">
        <f t="shared" si="25"/>
        <v>12</v>
      </c>
      <c r="E67" s="786" t="str">
        <f t="shared" si="25"/>
        <v>Excellent CLER &amp; ACGME Outcomes</v>
      </c>
      <c r="F67" s="786">
        <f t="shared" ref="F67:G67" si="28">F66</f>
        <v>12.3</v>
      </c>
      <c r="G67" s="786" t="str">
        <f t="shared" si="28"/>
        <v>Increase "residents' education (not) compromised by excessive reliance on non-physician obligations" by 5%</v>
      </c>
      <c r="I67" s="832">
        <f>'Academic Metrics'!$K$5</f>
        <v>0.77</v>
      </c>
    </row>
    <row r="68" spans="1:9" s="812" customFormat="1" ht="15" x14ac:dyDescent="0.25">
      <c r="A68" s="805">
        <v>5</v>
      </c>
      <c r="B68" s="804" t="s">
        <v>27</v>
      </c>
      <c r="C68" s="804" t="s">
        <v>492</v>
      </c>
      <c r="D68" s="804">
        <v>12</v>
      </c>
      <c r="E68" s="806" t="s">
        <v>163</v>
      </c>
      <c r="F68" s="814">
        <v>12.4</v>
      </c>
      <c r="G68" s="805" t="s">
        <v>1324</v>
      </c>
      <c r="H68" s="813"/>
      <c r="I68" s="831">
        <f>'Academic Metrics'!$P$8</f>
        <v>0.89600000000000002</v>
      </c>
    </row>
    <row r="69" spans="1:9" s="786" customFormat="1" ht="15" x14ac:dyDescent="0.2">
      <c r="A69" s="786">
        <v>5</v>
      </c>
      <c r="B69" s="786" t="str">
        <f>B68</f>
        <v>Academic</v>
      </c>
      <c r="C69" s="786" t="s">
        <v>494</v>
      </c>
      <c r="D69" s="786">
        <f t="shared" ref="D69:E71" si="29">D68</f>
        <v>12</v>
      </c>
      <c r="E69" s="786" t="str">
        <f t="shared" si="29"/>
        <v>Excellent GQ Outcomes</v>
      </c>
      <c r="F69" s="786">
        <f t="shared" ref="F69:G69" si="30">F68</f>
        <v>12.4</v>
      </c>
      <c r="G69" s="786" t="str">
        <f t="shared" si="30"/>
        <v>Increase percent of students who report knowing procedures for reporting mistreatment by 5%</v>
      </c>
      <c r="I69" s="832">
        <f>'Academic Metrics'!$P$8</f>
        <v>0.89600000000000002</v>
      </c>
    </row>
    <row r="70" spans="1:9" s="786" customFormat="1" ht="15" x14ac:dyDescent="0.2">
      <c r="A70" s="786">
        <v>5</v>
      </c>
      <c r="B70" s="786" t="str">
        <f>B69</f>
        <v>Academic</v>
      </c>
      <c r="C70" s="786" t="s">
        <v>274</v>
      </c>
      <c r="D70" s="786">
        <f t="shared" si="29"/>
        <v>12</v>
      </c>
      <c r="E70" s="786" t="str">
        <f t="shared" si="29"/>
        <v>Excellent GQ Outcomes</v>
      </c>
      <c r="F70" s="786">
        <f t="shared" ref="F70:G70" si="31">F69</f>
        <v>12.4</v>
      </c>
      <c r="G70" s="786" t="str">
        <f t="shared" si="31"/>
        <v>Increase percent of students who report knowing procedures for reporting mistreatment by 5%</v>
      </c>
      <c r="I70" s="832">
        <f>'Academic Metrics'!$P$8</f>
        <v>0.89600000000000002</v>
      </c>
    </row>
    <row r="71" spans="1:9" s="786" customFormat="1" ht="15" x14ac:dyDescent="0.2">
      <c r="A71" s="786">
        <v>5</v>
      </c>
      <c r="B71" s="786" t="str">
        <f>B70</f>
        <v>Academic</v>
      </c>
      <c r="C71" s="786" t="s">
        <v>496</v>
      </c>
      <c r="D71" s="786">
        <f t="shared" si="29"/>
        <v>12</v>
      </c>
      <c r="E71" s="786" t="str">
        <f t="shared" si="29"/>
        <v>Excellent GQ Outcomes</v>
      </c>
      <c r="F71" s="786">
        <f t="shared" ref="F71:G71" si="32">F70</f>
        <v>12.4</v>
      </c>
      <c r="G71" s="786" t="str">
        <f t="shared" si="32"/>
        <v>Increase percent of students who report knowing procedures for reporting mistreatment by 5%</v>
      </c>
      <c r="I71" s="832">
        <f>'Academic Metrics'!$P$8</f>
        <v>0.89600000000000002</v>
      </c>
    </row>
    <row r="72" spans="1:9" s="812" customFormat="1" ht="15" x14ac:dyDescent="0.25">
      <c r="A72" s="805">
        <v>5</v>
      </c>
      <c r="B72" s="804" t="s">
        <v>27</v>
      </c>
      <c r="C72" s="804" t="s">
        <v>492</v>
      </c>
      <c r="D72" s="804">
        <v>12</v>
      </c>
      <c r="E72" s="806" t="s">
        <v>163</v>
      </c>
      <c r="F72" s="814">
        <v>12.5</v>
      </c>
      <c r="G72" s="805" t="s">
        <v>1325</v>
      </c>
      <c r="H72" s="813"/>
      <c r="I72" s="831">
        <f>'Academic Metrics'!$T$8</f>
        <v>0.80600000000000005</v>
      </c>
    </row>
    <row r="73" spans="1:9" s="786" customFormat="1" ht="15" x14ac:dyDescent="0.2">
      <c r="A73" s="786">
        <v>5</v>
      </c>
      <c r="B73" s="786" t="str">
        <f>B72</f>
        <v>Academic</v>
      </c>
      <c r="C73" s="786" t="s">
        <v>494</v>
      </c>
      <c r="D73" s="786">
        <f t="shared" ref="D73:E75" si="33">D72</f>
        <v>12</v>
      </c>
      <c r="E73" s="786" t="str">
        <f t="shared" si="33"/>
        <v>Excellent GQ Outcomes</v>
      </c>
      <c r="F73" s="786">
        <f t="shared" ref="F73:G73" si="34">F72</f>
        <v>12.5</v>
      </c>
      <c r="G73" s="786" t="str">
        <f t="shared" si="34"/>
        <v>Increase students reporting never having been publicly humiliated by 5%</v>
      </c>
      <c r="I73" s="832">
        <f>'Academic Metrics'!$T$8</f>
        <v>0.80600000000000005</v>
      </c>
    </row>
    <row r="74" spans="1:9" s="786" customFormat="1" ht="15" x14ac:dyDescent="0.2">
      <c r="A74" s="786">
        <v>5</v>
      </c>
      <c r="B74" s="786" t="str">
        <f>B73</f>
        <v>Academic</v>
      </c>
      <c r="C74" s="786" t="s">
        <v>274</v>
      </c>
      <c r="D74" s="786">
        <f t="shared" si="33"/>
        <v>12</v>
      </c>
      <c r="E74" s="786" t="str">
        <f t="shared" si="33"/>
        <v>Excellent GQ Outcomes</v>
      </c>
      <c r="F74" s="786">
        <f t="shared" ref="F74:G74" si="35">F73</f>
        <v>12.5</v>
      </c>
      <c r="G74" s="786" t="str">
        <f t="shared" si="35"/>
        <v>Increase students reporting never having been publicly humiliated by 5%</v>
      </c>
      <c r="I74" s="832">
        <f>'Academic Metrics'!$T$8</f>
        <v>0.80600000000000005</v>
      </c>
    </row>
    <row r="75" spans="1:9" s="786" customFormat="1" ht="15" x14ac:dyDescent="0.2">
      <c r="A75" s="786">
        <v>5</v>
      </c>
      <c r="B75" s="786" t="str">
        <f>B74</f>
        <v>Academic</v>
      </c>
      <c r="C75" s="786" t="s">
        <v>496</v>
      </c>
      <c r="D75" s="786">
        <f t="shared" si="33"/>
        <v>12</v>
      </c>
      <c r="E75" s="786" t="str">
        <f t="shared" si="33"/>
        <v>Excellent GQ Outcomes</v>
      </c>
      <c r="F75" s="786">
        <f t="shared" ref="F75:G75" si="36">F74</f>
        <v>12.5</v>
      </c>
      <c r="G75" s="786" t="str">
        <f t="shared" si="36"/>
        <v>Increase students reporting never having been publicly humiliated by 5%</v>
      </c>
      <c r="I75" s="832">
        <f>'Academic Metrics'!$T$8</f>
        <v>0.80600000000000005</v>
      </c>
    </row>
    <row r="76" spans="1:9" s="812" customFormat="1" ht="15" x14ac:dyDescent="0.25">
      <c r="A76" s="805">
        <v>5</v>
      </c>
      <c r="B76" s="804" t="s">
        <v>27</v>
      </c>
      <c r="C76" s="804" t="s">
        <v>492</v>
      </c>
      <c r="D76" s="804">
        <v>12</v>
      </c>
      <c r="E76" s="806" t="s">
        <v>163</v>
      </c>
      <c r="F76" s="814">
        <v>12.6</v>
      </c>
      <c r="G76" s="805" t="s">
        <v>1326</v>
      </c>
      <c r="H76" s="813"/>
      <c r="I76" s="831">
        <f>'Academic Metrics'!$X$8</f>
        <v>0.57600000000000007</v>
      </c>
    </row>
    <row r="77" spans="1:9" s="786" customFormat="1" ht="15" x14ac:dyDescent="0.2">
      <c r="A77" s="786">
        <v>5</v>
      </c>
      <c r="B77" s="786" t="str">
        <f>B76</f>
        <v>Academic</v>
      </c>
      <c r="C77" s="786" t="s">
        <v>494</v>
      </c>
      <c r="D77" s="786">
        <f t="shared" ref="D77:E79" si="37">D76</f>
        <v>12</v>
      </c>
      <c r="E77" s="786" t="str">
        <f t="shared" si="37"/>
        <v>Excellent GQ Outcomes</v>
      </c>
      <c r="F77" s="786">
        <f t="shared" ref="F77:G77" si="38">F76</f>
        <v>12.6</v>
      </c>
      <c r="G77" s="786" t="str">
        <f t="shared" si="38"/>
        <v>Increase students reporting never having been publicly embarrassed by 5%</v>
      </c>
      <c r="I77" s="832">
        <f>'Academic Metrics'!$X$8</f>
        <v>0.57600000000000007</v>
      </c>
    </row>
    <row r="78" spans="1:9" s="786" customFormat="1" ht="15" x14ac:dyDescent="0.2">
      <c r="A78" s="786">
        <v>5</v>
      </c>
      <c r="B78" s="786" t="str">
        <f>B77</f>
        <v>Academic</v>
      </c>
      <c r="C78" s="786" t="s">
        <v>274</v>
      </c>
      <c r="D78" s="786">
        <f t="shared" si="37"/>
        <v>12</v>
      </c>
      <c r="E78" s="786" t="str">
        <f t="shared" si="37"/>
        <v>Excellent GQ Outcomes</v>
      </c>
      <c r="F78" s="786">
        <f t="shared" ref="F78:G78" si="39">F77</f>
        <v>12.6</v>
      </c>
      <c r="G78" s="786" t="str">
        <f t="shared" si="39"/>
        <v>Increase students reporting never having been publicly embarrassed by 5%</v>
      </c>
      <c r="I78" s="832">
        <f>'Academic Metrics'!$X$8</f>
        <v>0.57600000000000007</v>
      </c>
    </row>
    <row r="79" spans="1:9" s="786" customFormat="1" ht="15" x14ac:dyDescent="0.2">
      <c r="A79" s="786">
        <v>5</v>
      </c>
      <c r="B79" s="786" t="str">
        <f>B78</f>
        <v>Academic</v>
      </c>
      <c r="C79" s="786" t="s">
        <v>496</v>
      </c>
      <c r="D79" s="786">
        <f t="shared" si="37"/>
        <v>12</v>
      </c>
      <c r="E79" s="786" t="str">
        <f t="shared" si="37"/>
        <v>Excellent GQ Outcomes</v>
      </c>
      <c r="F79" s="786">
        <f t="shared" ref="F79:G79" si="40">F78</f>
        <v>12.6</v>
      </c>
      <c r="G79" s="786" t="str">
        <f t="shared" si="40"/>
        <v>Increase students reporting never having been publicly embarrassed by 5%</v>
      </c>
      <c r="I79" s="832">
        <f>'Academic Metrics'!$X$8</f>
        <v>0.57600000000000007</v>
      </c>
    </row>
  </sheetData>
  <autoFilter ref="A7:I79"/>
  <pageMargins left="0.7" right="0.7" top="0.75" bottom="0.75" header="0.3" footer="0.3"/>
  <pageSetup paperSize="5" scale="63" fitToHeight="0" orientation="landscape" r:id="rId1"/>
  <headerFoot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0"/>
  <sheetViews>
    <sheetView workbookViewId="0">
      <selection activeCell="D14" sqref="D14"/>
    </sheetView>
  </sheetViews>
  <sheetFormatPr defaultColWidth="8.7109375" defaultRowHeight="12.75" x14ac:dyDescent="0.2"/>
  <cols>
    <col min="1" max="1" width="20.5703125" style="2" customWidth="1"/>
    <col min="2" max="2" width="15.5703125" style="2" hidden="1" customWidth="1"/>
    <col min="3" max="3" width="40.140625" style="2" customWidth="1"/>
    <col min="4" max="4" width="50.85546875" style="2" customWidth="1"/>
    <col min="5" max="5" width="23.7109375" style="2" customWidth="1"/>
    <col min="6" max="16384" width="8.7109375" style="2"/>
  </cols>
  <sheetData>
    <row r="1" spans="1:6" ht="18" x14ac:dyDescent="0.25">
      <c r="A1" s="135" t="s">
        <v>1308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3.5" customHeight="1" x14ac:dyDescent="0.2">
      <c r="A4" s="840" t="s">
        <v>10</v>
      </c>
      <c r="B4" s="113"/>
      <c r="C4" s="171" t="s">
        <v>11</v>
      </c>
      <c r="D4" s="172" t="str">
        <f>'Internal Medicine'!D4</f>
        <v>Achieve budgeted clinic visits at UNMH</v>
      </c>
      <c r="E4" s="173">
        <f>'Growth Metric by Entity_Dept'!C26</f>
        <v>15222</v>
      </c>
      <c r="F4" s="3" t="s">
        <v>513</v>
      </c>
    </row>
    <row r="5" spans="1:6" ht="13.5" customHeight="1" x14ac:dyDescent="0.2">
      <c r="A5" s="841"/>
      <c r="B5" s="115"/>
      <c r="C5" s="884" t="s">
        <v>317</v>
      </c>
      <c r="D5" s="174" t="s">
        <v>334</v>
      </c>
      <c r="E5" s="219">
        <f>'Growth Metric by Entity_Dept'!K26</f>
        <v>1467</v>
      </c>
    </row>
    <row r="6" spans="1:6" ht="15" x14ac:dyDescent="0.2">
      <c r="A6" s="841"/>
      <c r="B6" s="115"/>
      <c r="C6" s="884"/>
      <c r="D6" s="175" t="str">
        <f>'Internal Medicine'!D8</f>
        <v xml:space="preserve">Increase CMI by 4% </v>
      </c>
      <c r="E6" s="284">
        <f>'Growth Metric by Entity_Dept'!G26</f>
        <v>1.8304</v>
      </c>
    </row>
    <row r="7" spans="1:6" ht="16.5" customHeight="1" thickBot="1" x14ac:dyDescent="0.25">
      <c r="A7" s="844"/>
      <c r="B7" s="147"/>
      <c r="C7" s="176" t="s">
        <v>15</v>
      </c>
      <c r="D7" s="177" t="str">
        <f>'Internal Medicine'!D9</f>
        <v>Achieve budgeted  wRVUs - UNMH</v>
      </c>
      <c r="E7" s="178">
        <f>'Growth Metric by Entity_Dept'!S26</f>
        <v>85903.799999999988</v>
      </c>
      <c r="F7" s="3" t="s">
        <v>513</v>
      </c>
    </row>
    <row r="8" spans="1:6" ht="13.5" customHeight="1" x14ac:dyDescent="0.2">
      <c r="A8" s="840" t="s">
        <v>7</v>
      </c>
      <c r="B8" s="120"/>
      <c r="C8" s="179" t="s">
        <v>330</v>
      </c>
      <c r="D8" s="174" t="s">
        <v>335</v>
      </c>
      <c r="E8" s="285">
        <f>'Qual_Saf Metric by Entity_Dept'!C19</f>
        <v>0.93</v>
      </c>
      <c r="F8" s="3" t="s">
        <v>513</v>
      </c>
    </row>
    <row r="9" spans="1:6" ht="13.5" customHeight="1" x14ac:dyDescent="0.2">
      <c r="A9" s="841"/>
      <c r="B9" s="120"/>
      <c r="C9" s="883" t="s">
        <v>336</v>
      </c>
      <c r="D9" s="174" t="s">
        <v>344</v>
      </c>
      <c r="E9" s="180">
        <v>0</v>
      </c>
    </row>
    <row r="10" spans="1:6" ht="13.5" customHeight="1" x14ac:dyDescent="0.2">
      <c r="A10" s="841"/>
      <c r="B10" s="120"/>
      <c r="C10" s="883"/>
      <c r="D10" s="174" t="s">
        <v>338</v>
      </c>
      <c r="E10" s="180">
        <v>3</v>
      </c>
    </row>
    <row r="11" spans="1:6" ht="13.5" customHeight="1" x14ac:dyDescent="0.25">
      <c r="A11" s="841"/>
      <c r="B11" s="120"/>
      <c r="C11" s="883"/>
      <c r="D11" s="125" t="s">
        <v>339</v>
      </c>
      <c r="E11" s="180">
        <v>1</v>
      </c>
    </row>
    <row r="12" spans="1:6" ht="13.5" customHeight="1" x14ac:dyDescent="0.25">
      <c r="A12" s="841"/>
      <c r="B12" s="120"/>
      <c r="C12" s="740" t="s">
        <v>345</v>
      </c>
      <c r="D12" s="125" t="s">
        <v>347</v>
      </c>
      <c r="E12" s="180">
        <v>1</v>
      </c>
    </row>
    <row r="13" spans="1:6" ht="12.75" customHeight="1" thickBot="1" x14ac:dyDescent="0.25">
      <c r="A13" s="844"/>
      <c r="B13" s="120"/>
      <c r="C13" s="179" t="s">
        <v>340</v>
      </c>
      <c r="D13" s="258" t="s">
        <v>482</v>
      </c>
      <c r="E13" s="286">
        <f>'Qual_Saf Metric by Entity_Dept'!O19</f>
        <v>6.29</v>
      </c>
    </row>
    <row r="14" spans="1:6" ht="15.6" customHeight="1" thickBot="1" x14ac:dyDescent="0.3">
      <c r="A14" s="840" t="s">
        <v>2</v>
      </c>
      <c r="B14" s="120"/>
      <c r="C14" s="181" t="s">
        <v>8</v>
      </c>
      <c r="D14" s="197" t="s">
        <v>1269</v>
      </c>
      <c r="E14" s="221" t="str">
        <f>'Service Metric by Entity_Dept'!C20 &amp; "%tile"</f>
        <v>28%tile</v>
      </c>
      <c r="F14" s="3" t="s">
        <v>513</v>
      </c>
    </row>
    <row r="15" spans="1:6" ht="15.6" customHeight="1" thickBot="1" x14ac:dyDescent="0.3">
      <c r="A15" s="844"/>
      <c r="B15" s="120"/>
      <c r="C15" s="179" t="s">
        <v>9</v>
      </c>
      <c r="D15" s="212" t="s">
        <v>1349</v>
      </c>
      <c r="E15" s="250" t="str">
        <f>'Service Metric by Entity_Dept'!G20 &amp; "%tile"</f>
        <v>26%tile</v>
      </c>
      <c r="F15" s="3" t="s">
        <v>513</v>
      </c>
    </row>
    <row r="16" spans="1:6" ht="29.45" customHeight="1" x14ac:dyDescent="0.25">
      <c r="A16" s="840" t="s">
        <v>3</v>
      </c>
      <c r="B16" s="120"/>
      <c r="C16" s="753" t="s">
        <v>16</v>
      </c>
      <c r="D16" s="6" t="s">
        <v>1277</v>
      </c>
      <c r="E16" s="143">
        <v>0.51</v>
      </c>
      <c r="F16" s="10" t="s">
        <v>513</v>
      </c>
    </row>
    <row r="17" spans="1:6" s="788" customFormat="1" ht="29.45" customHeight="1" x14ac:dyDescent="0.25">
      <c r="A17" s="841"/>
      <c r="B17" s="801"/>
      <c r="C17" s="874" t="s">
        <v>323</v>
      </c>
      <c r="D17" s="790" t="s">
        <v>1280</v>
      </c>
      <c r="E17" s="802">
        <v>0.9</v>
      </c>
      <c r="F17" s="792" t="s">
        <v>513</v>
      </c>
    </row>
    <row r="18" spans="1:6" ht="15.75" thickBot="1" x14ac:dyDescent="0.3">
      <c r="A18" s="844"/>
      <c r="B18" s="131"/>
      <c r="C18" s="875"/>
      <c r="D18" s="790" t="s">
        <v>1279</v>
      </c>
      <c r="E18" s="802">
        <v>0.9</v>
      </c>
      <c r="F18" s="10" t="s">
        <v>513</v>
      </c>
    </row>
    <row r="19" spans="1:6" ht="15.6" customHeight="1" thickBot="1" x14ac:dyDescent="0.3">
      <c r="A19" s="183" t="s">
        <v>4</v>
      </c>
      <c r="B19" s="183"/>
      <c r="C19" s="184" t="s">
        <v>349</v>
      </c>
      <c r="D19" s="130" t="s">
        <v>325</v>
      </c>
      <c r="E19" s="259">
        <f>'Finance Metric by Entity_Dept'!R16</f>
        <v>0</v>
      </c>
    </row>
    <row r="20" spans="1:6" x14ac:dyDescent="0.2">
      <c r="E20" s="53"/>
    </row>
  </sheetData>
  <mergeCells count="7">
    <mergeCell ref="A16:A18"/>
    <mergeCell ref="A4:A7"/>
    <mergeCell ref="C5:C6"/>
    <mergeCell ref="A8:A13"/>
    <mergeCell ref="C9:C11"/>
    <mergeCell ref="A14:A15"/>
    <mergeCell ref="C17:C18"/>
  </mergeCells>
  <pageMargins left="0.7" right="0.7" top="0.75" bottom="0.75" header="0.3" footer="0.3"/>
  <pageSetup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6"/>
  <sheetViews>
    <sheetView topLeftCell="A10" workbookViewId="0">
      <selection activeCell="D21" sqref="D21"/>
    </sheetView>
  </sheetViews>
  <sheetFormatPr defaultColWidth="8.7109375" defaultRowHeight="12.75" x14ac:dyDescent="0.2"/>
  <cols>
    <col min="1" max="1" width="15.140625" style="2" customWidth="1"/>
    <col min="2" max="2" width="15.140625" style="2" hidden="1" customWidth="1"/>
    <col min="3" max="3" width="51.7109375" style="2" customWidth="1"/>
    <col min="4" max="4" width="60.28515625" style="2" customWidth="1"/>
    <col min="5" max="5" width="27.42578125" style="2" customWidth="1"/>
    <col min="6" max="16384" width="8.7109375" style="2"/>
  </cols>
  <sheetData>
    <row r="1" spans="1:6" ht="18" x14ac:dyDescent="0.25">
      <c r="A1" s="135" t="s">
        <v>1305</v>
      </c>
      <c r="B1" s="135"/>
      <c r="E1" s="10"/>
    </row>
    <row r="2" spans="1:6" ht="13.5" thickBot="1" x14ac:dyDescent="0.25"/>
    <row r="3" spans="1:6" ht="15.75" thickBot="1" x14ac:dyDescent="0.3">
      <c r="A3" s="186" t="s">
        <v>0</v>
      </c>
      <c r="B3" s="187" t="s">
        <v>314</v>
      </c>
      <c r="C3" s="188" t="s">
        <v>5</v>
      </c>
      <c r="D3" s="188" t="s">
        <v>561</v>
      </c>
      <c r="E3" s="189" t="s">
        <v>316</v>
      </c>
    </row>
    <row r="4" spans="1:6" ht="15.6" customHeight="1" x14ac:dyDescent="0.25">
      <c r="A4" s="840" t="s">
        <v>10</v>
      </c>
      <c r="B4" s="113"/>
      <c r="C4" s="876" t="s">
        <v>11</v>
      </c>
      <c r="D4" s="52" t="str">
        <f>'Internal Medicine'!D4</f>
        <v>Achieve budgeted clinic visits at UNMH</v>
      </c>
      <c r="E4" s="118">
        <f>'Growth Metric by Entity_Dept'!C28</f>
        <v>16400</v>
      </c>
      <c r="F4" s="3" t="s">
        <v>513</v>
      </c>
    </row>
    <row r="5" spans="1:6" ht="15.6" customHeight="1" x14ac:dyDescent="0.25">
      <c r="A5" s="841"/>
      <c r="B5" s="115"/>
      <c r="C5" s="874"/>
      <c r="D5" s="52" t="str">
        <f>'Internal Medicine'!D5</f>
        <v>Achieve budgetd clinic visits at SRMC</v>
      </c>
      <c r="E5" s="118">
        <f>'Growth Metric by Entity_Dept'!C29</f>
        <v>1218</v>
      </c>
      <c r="F5" s="3" t="s">
        <v>513</v>
      </c>
    </row>
    <row r="6" spans="1:6" ht="15.6" customHeight="1" x14ac:dyDescent="0.25">
      <c r="A6" s="841"/>
      <c r="B6" s="120"/>
      <c r="C6" s="877" t="s">
        <v>317</v>
      </c>
      <c r="D6" s="190" t="s">
        <v>334</v>
      </c>
      <c r="E6" s="118">
        <f>'Growth Metric by Entity_Dept'!K28</f>
        <v>1525</v>
      </c>
    </row>
    <row r="7" spans="1:6" ht="15.6" customHeight="1" x14ac:dyDescent="0.25">
      <c r="A7" s="841"/>
      <c r="B7" s="120"/>
      <c r="C7" s="877"/>
      <c r="D7" s="191" t="str">
        <f>Neurology!D6</f>
        <v xml:space="preserve">Increase CMI by 4% </v>
      </c>
      <c r="E7" s="287">
        <f>'Growth Metric by Entity_Dept'!G28</f>
        <v>3.2968000000000002</v>
      </c>
    </row>
    <row r="8" spans="1:6" ht="15.6" customHeight="1" x14ac:dyDescent="0.25">
      <c r="A8" s="841"/>
      <c r="B8" s="120"/>
      <c r="C8" s="749" t="s">
        <v>6</v>
      </c>
      <c r="D8" s="190" t="s">
        <v>383</v>
      </c>
      <c r="E8" s="118">
        <f>'Growth Metric by Entity_Dept'!O28</f>
        <v>1094</v>
      </c>
      <c r="F8" s="3" t="s">
        <v>513</v>
      </c>
    </row>
    <row r="9" spans="1:6" ht="15.6" customHeight="1" x14ac:dyDescent="0.25">
      <c r="A9" s="841"/>
      <c r="B9" s="120"/>
      <c r="C9" s="874" t="s">
        <v>15</v>
      </c>
      <c r="D9" s="125" t="str">
        <f>'Internal Medicine'!D9</f>
        <v>Achieve budgeted  wRVUs - UNMH</v>
      </c>
      <c r="E9" s="118">
        <f>'Growth Metric by Entity_Dept'!S28</f>
        <v>73468</v>
      </c>
      <c r="F9" s="3" t="s">
        <v>513</v>
      </c>
    </row>
    <row r="10" spans="1:6" ht="15.6" customHeight="1" thickBot="1" x14ac:dyDescent="0.3">
      <c r="A10" s="844"/>
      <c r="B10" s="164"/>
      <c r="C10" s="875"/>
      <c r="D10" s="123" t="str">
        <f>'Internal Medicine'!D10</f>
        <v>Achieve budgeted wRVUs - SRMC</v>
      </c>
      <c r="E10" s="149">
        <f>'Growth Metric by Entity_Dept'!S29</f>
        <v>963</v>
      </c>
      <c r="F10" s="3" t="s">
        <v>513</v>
      </c>
    </row>
    <row r="11" spans="1:6" ht="15.6" customHeight="1" x14ac:dyDescent="0.25">
      <c r="A11" s="840" t="s">
        <v>350</v>
      </c>
      <c r="B11" s="120"/>
      <c r="C11" s="116" t="s">
        <v>351</v>
      </c>
      <c r="D11" s="192" t="s">
        <v>335</v>
      </c>
      <c r="E11" s="282">
        <f>'Qual_Saf Metric by Entity_Dept'!C20</f>
        <v>1</v>
      </c>
      <c r="F11" s="3" t="s">
        <v>513</v>
      </c>
    </row>
    <row r="12" spans="1:6" ht="15.6" customHeight="1" x14ac:dyDescent="0.25">
      <c r="A12" s="841"/>
      <c r="B12" s="120"/>
      <c r="C12" s="883" t="s">
        <v>336</v>
      </c>
      <c r="D12" s="174" t="s">
        <v>344</v>
      </c>
      <c r="E12" s="161">
        <v>1</v>
      </c>
    </row>
    <row r="13" spans="1:6" ht="15.6" customHeight="1" x14ac:dyDescent="0.25">
      <c r="A13" s="841"/>
      <c r="B13" s="193"/>
      <c r="C13" s="883"/>
      <c r="D13" s="174" t="s">
        <v>338</v>
      </c>
      <c r="E13" s="194">
        <v>3</v>
      </c>
      <c r="F13" s="3" t="s">
        <v>513</v>
      </c>
    </row>
    <row r="14" spans="1:6" ht="15.6" customHeight="1" x14ac:dyDescent="0.25">
      <c r="A14" s="841"/>
      <c r="B14" s="193"/>
      <c r="C14" s="883"/>
      <c r="D14" s="125" t="s">
        <v>339</v>
      </c>
      <c r="E14" s="194">
        <v>4</v>
      </c>
    </row>
    <row r="15" spans="1:6" ht="15.6" customHeight="1" x14ac:dyDescent="0.25">
      <c r="A15" s="841"/>
      <c r="B15" s="193"/>
      <c r="C15" s="877" t="s">
        <v>318</v>
      </c>
      <c r="D15" s="192" t="s">
        <v>352</v>
      </c>
      <c r="E15" s="161">
        <v>0</v>
      </c>
    </row>
    <row r="16" spans="1:6" ht="15.6" customHeight="1" x14ac:dyDescent="0.25">
      <c r="A16" s="841"/>
      <c r="B16" s="193"/>
      <c r="C16" s="877"/>
      <c r="D16" s="192" t="s">
        <v>353</v>
      </c>
      <c r="E16" s="161">
        <v>1</v>
      </c>
    </row>
    <row r="17" spans="1:6" ht="15.6" customHeight="1" x14ac:dyDescent="0.25">
      <c r="A17" s="841"/>
      <c r="B17" s="193"/>
      <c r="C17" s="877"/>
      <c r="D17" s="192" t="s">
        <v>354</v>
      </c>
      <c r="E17" s="161">
        <v>0</v>
      </c>
    </row>
    <row r="18" spans="1:6" ht="15.6" customHeight="1" x14ac:dyDescent="0.25">
      <c r="A18" s="841"/>
      <c r="B18" s="120"/>
      <c r="C18" s="877"/>
      <c r="D18" s="192" t="s">
        <v>355</v>
      </c>
      <c r="E18" s="161">
        <v>0</v>
      </c>
    </row>
    <row r="19" spans="1:6" ht="15.6" customHeight="1" x14ac:dyDescent="0.25">
      <c r="A19" s="841"/>
      <c r="B19" s="120"/>
      <c r="C19" s="877"/>
      <c r="D19" s="192" t="s">
        <v>356</v>
      </c>
      <c r="E19" s="161">
        <v>1</v>
      </c>
    </row>
    <row r="20" spans="1:6" ht="15.6" customHeight="1" thickBot="1" x14ac:dyDescent="0.3">
      <c r="A20" s="844"/>
      <c r="B20" s="120"/>
      <c r="C20" s="195" t="s">
        <v>357</v>
      </c>
      <c r="D20" s="196" t="s">
        <v>348</v>
      </c>
      <c r="E20" s="288">
        <f>'Qual_Saf Metric by Entity_Dept'!O20</f>
        <v>14.04</v>
      </c>
    </row>
    <row r="21" spans="1:6" ht="15.6" customHeight="1" thickBot="1" x14ac:dyDescent="0.3">
      <c r="A21" s="840" t="s">
        <v>2</v>
      </c>
      <c r="B21" s="124"/>
      <c r="C21" s="116" t="s">
        <v>8</v>
      </c>
      <c r="D21" s="197" t="s">
        <v>1269</v>
      </c>
      <c r="E21" s="161" t="str">
        <f>'Service Metric by Entity_Dept'!C22 &amp; "%tile"</f>
        <v>58%tile</v>
      </c>
      <c r="F21" s="3" t="s">
        <v>513</v>
      </c>
    </row>
    <row r="22" spans="1:6" ht="15.6" customHeight="1" thickBot="1" x14ac:dyDescent="0.3">
      <c r="A22" s="844"/>
      <c r="B22" s="120"/>
      <c r="C22" s="116" t="s">
        <v>9</v>
      </c>
      <c r="D22" s="212" t="s">
        <v>1349</v>
      </c>
      <c r="E22" s="203" t="str">
        <f>'Service Metric by Entity_Dept'!G22 &amp; "%tile"</f>
        <v>25%tile</v>
      </c>
      <c r="F22" s="3" t="s">
        <v>513</v>
      </c>
    </row>
    <row r="23" spans="1:6" ht="15" x14ac:dyDescent="0.25">
      <c r="A23" s="840" t="s">
        <v>3</v>
      </c>
      <c r="B23" s="120"/>
      <c r="C23" s="758" t="s">
        <v>16</v>
      </c>
      <c r="D23" s="6" t="s">
        <v>1277</v>
      </c>
      <c r="E23" s="143">
        <v>0.51</v>
      </c>
      <c r="F23" s="10" t="s">
        <v>513</v>
      </c>
    </row>
    <row r="24" spans="1:6" ht="15.75" thickBot="1" x14ac:dyDescent="0.3">
      <c r="A24" s="844"/>
      <c r="B24" s="131"/>
      <c r="C24" s="116" t="s">
        <v>323</v>
      </c>
      <c r="D24" s="6" t="s">
        <v>1280</v>
      </c>
      <c r="E24" s="143">
        <v>0.9</v>
      </c>
      <c r="F24" s="10" t="s">
        <v>513</v>
      </c>
    </row>
    <row r="25" spans="1:6" ht="15.6" customHeight="1" thickBot="1" x14ac:dyDescent="0.3">
      <c r="A25" s="183" t="s">
        <v>4</v>
      </c>
      <c r="B25" s="198"/>
      <c r="C25" s="129" t="s">
        <v>1</v>
      </c>
      <c r="D25" s="130" t="s">
        <v>325</v>
      </c>
      <c r="E25" s="260">
        <f>'Finance Metric by Entity_Dept'!R17</f>
        <v>0</v>
      </c>
    </row>
    <row r="26" spans="1:6" x14ac:dyDescent="0.2">
      <c r="E26" s="770"/>
    </row>
  </sheetData>
  <mergeCells count="9">
    <mergeCell ref="A23:A24"/>
    <mergeCell ref="A21:A22"/>
    <mergeCell ref="A4:A10"/>
    <mergeCell ref="C4:C5"/>
    <mergeCell ref="C6:C7"/>
    <mergeCell ref="C9:C10"/>
    <mergeCell ref="A11:A20"/>
    <mergeCell ref="C12:C14"/>
    <mergeCell ref="C15:C19"/>
  </mergeCells>
  <pageMargins left="0.7" right="0.7" top="0.75" bottom="0.75" header="0.3" footer="0.3"/>
  <pageSetup scale="7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zoomScaleNormal="100" workbookViewId="0">
      <selection activeCell="D19" sqref="D19"/>
    </sheetView>
  </sheetViews>
  <sheetFormatPr defaultColWidth="8.7109375" defaultRowHeight="12.75" x14ac:dyDescent="0.2"/>
  <cols>
    <col min="1" max="1" width="17.140625" style="2" customWidth="1"/>
    <col min="2" max="2" width="17.140625" style="2" hidden="1" customWidth="1"/>
    <col min="3" max="3" width="40.7109375" style="2" customWidth="1"/>
    <col min="4" max="4" width="63.5703125" style="2" customWidth="1"/>
    <col min="5" max="5" width="28.5703125" style="2" customWidth="1"/>
    <col min="6" max="6" width="8.7109375" style="9"/>
    <col min="7" max="16384" width="8.7109375" style="2"/>
  </cols>
  <sheetData>
    <row r="1" spans="1:6" ht="18" x14ac:dyDescent="0.25">
      <c r="A1" s="135" t="s">
        <v>1285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" x14ac:dyDescent="0.25">
      <c r="A4" s="840" t="s">
        <v>10</v>
      </c>
      <c r="B4" s="113"/>
      <c r="C4" s="876" t="s">
        <v>11</v>
      </c>
      <c r="D4" s="6" t="str">
        <f>Neurosurgery!D4</f>
        <v>Achieve budgeted clinic visits at UNMH</v>
      </c>
      <c r="E4" s="165">
        <f>'Growth Metric by Entity_Dept'!C32</f>
        <v>60338.998800000001</v>
      </c>
      <c r="F4" s="10" t="s">
        <v>513</v>
      </c>
    </row>
    <row r="5" spans="1:6" ht="15.6" customHeight="1" x14ac:dyDescent="0.25">
      <c r="A5" s="841"/>
      <c r="B5" s="115"/>
      <c r="C5" s="874"/>
      <c r="D5" s="6" t="s">
        <v>1301</v>
      </c>
      <c r="E5" s="165">
        <f>'Growth Metric by Entity_Dept'!C33</f>
        <v>4900</v>
      </c>
      <c r="F5" s="10" t="s">
        <v>513</v>
      </c>
    </row>
    <row r="6" spans="1:6" ht="15.6" customHeight="1" x14ac:dyDescent="0.25">
      <c r="A6" s="841"/>
      <c r="B6" s="115"/>
      <c r="C6" s="874"/>
      <c r="D6" s="6" t="s">
        <v>1304</v>
      </c>
      <c r="E6" s="165">
        <f>'Growth Metric by Entity_Dept'!C34</f>
        <v>5642</v>
      </c>
      <c r="F6" s="10" t="s">
        <v>513</v>
      </c>
    </row>
    <row r="7" spans="1:6" ht="15.6" customHeight="1" x14ac:dyDescent="0.25">
      <c r="A7" s="841"/>
      <c r="B7" s="115"/>
      <c r="C7" s="877" t="s">
        <v>317</v>
      </c>
      <c r="D7" s="199" t="s">
        <v>334</v>
      </c>
      <c r="E7" s="155">
        <f>'Growth Metric by Entity_Dept'!K32</f>
        <v>3423</v>
      </c>
    </row>
    <row r="8" spans="1:6" ht="15.6" customHeight="1" x14ac:dyDescent="0.25">
      <c r="A8" s="841"/>
      <c r="B8" s="120"/>
      <c r="C8" s="877"/>
      <c r="D8" s="200" t="str">
        <f>Neurosurgery!D7</f>
        <v xml:space="preserve">Increase CMI by 4% </v>
      </c>
      <c r="E8" s="287">
        <f>'Growth Metric by Entity_Dept'!G32</f>
        <v>0.96720000000000006</v>
      </c>
    </row>
    <row r="9" spans="1:6" ht="15.6" customHeight="1" x14ac:dyDescent="0.25">
      <c r="A9" s="841"/>
      <c r="B9" s="120"/>
      <c r="C9" s="874" t="s">
        <v>6</v>
      </c>
      <c r="D9" s="201" t="str">
        <f>Neurosurgery!D8</f>
        <v>Achieve budgeted surgical cases at UNMH</v>
      </c>
      <c r="E9" s="118">
        <f>'Growth Metric by Entity_Dept'!O32</f>
        <v>1142</v>
      </c>
      <c r="F9" s="10"/>
    </row>
    <row r="10" spans="1:6" ht="15.6" customHeight="1" x14ac:dyDescent="0.25">
      <c r="A10" s="841"/>
      <c r="B10" s="120"/>
      <c r="C10" s="874"/>
      <c r="D10" s="201" t="s">
        <v>1317</v>
      </c>
      <c r="E10" s="118">
        <f>'Growth Metric by Entity_Dept'!O33</f>
        <v>276</v>
      </c>
      <c r="F10" s="10"/>
    </row>
    <row r="11" spans="1:6" ht="15.6" customHeight="1" x14ac:dyDescent="0.25">
      <c r="A11" s="841"/>
      <c r="B11" s="120"/>
      <c r="C11" s="874" t="s">
        <v>15</v>
      </c>
      <c r="D11" s="125" t="str">
        <f>Neurosurgery!D9</f>
        <v>Achieve budgeted  wRVUs - UNMH</v>
      </c>
      <c r="E11" s="165">
        <f>'Growth Metric by Entity_Dept'!S32</f>
        <v>123332.08999999998</v>
      </c>
      <c r="F11" s="10" t="s">
        <v>513</v>
      </c>
    </row>
    <row r="12" spans="1:6" ht="15.6" customHeight="1" thickBot="1" x14ac:dyDescent="0.3">
      <c r="A12" s="844"/>
      <c r="B12" s="120"/>
      <c r="C12" s="875"/>
      <c r="D12" s="123" t="str">
        <f>Neurosurgery!D10</f>
        <v>Achieve budgeted wRVUs - SRMC</v>
      </c>
      <c r="E12" s="202">
        <f>'Growth Metric by Entity_Dept'!S33</f>
        <v>12499.500000000004</v>
      </c>
      <c r="F12" s="10" t="s">
        <v>513</v>
      </c>
    </row>
    <row r="13" spans="1:6" ht="15.6" customHeight="1" x14ac:dyDescent="0.25">
      <c r="A13" s="841" t="s">
        <v>7</v>
      </c>
      <c r="B13" s="120"/>
      <c r="C13" s="885" t="s">
        <v>318</v>
      </c>
      <c r="D13" s="132" t="s">
        <v>517</v>
      </c>
      <c r="E13" s="141">
        <v>1</v>
      </c>
    </row>
    <row r="14" spans="1:6" ht="15.6" customHeight="1" x14ac:dyDescent="0.25">
      <c r="A14" s="841"/>
      <c r="B14" s="120"/>
      <c r="C14" s="877"/>
      <c r="D14" s="132" t="s">
        <v>358</v>
      </c>
      <c r="E14" s="161" t="s">
        <v>359</v>
      </c>
    </row>
    <row r="15" spans="1:6" ht="15.6" customHeight="1" x14ac:dyDescent="0.25">
      <c r="A15" s="841"/>
      <c r="B15" s="120"/>
      <c r="C15" s="877"/>
      <c r="D15" s="201" t="s">
        <v>347</v>
      </c>
      <c r="E15" s="161">
        <v>1</v>
      </c>
    </row>
    <row r="16" spans="1:6" ht="15.6" customHeight="1" x14ac:dyDescent="0.25">
      <c r="A16" s="841"/>
      <c r="B16" s="120"/>
      <c r="C16" s="116" t="s">
        <v>336</v>
      </c>
      <c r="D16" s="125" t="s">
        <v>540</v>
      </c>
      <c r="E16" s="161">
        <v>3</v>
      </c>
      <c r="F16" s="10" t="s">
        <v>513</v>
      </c>
    </row>
    <row r="17" spans="1:6" ht="15.6" customHeight="1" thickBot="1" x14ac:dyDescent="0.3">
      <c r="A17" s="841"/>
      <c r="B17" s="120"/>
      <c r="C17" s="751" t="s">
        <v>357</v>
      </c>
      <c r="D17" s="123" t="s">
        <v>348</v>
      </c>
      <c r="E17" s="288">
        <f>'Qual_Saf Metric by Entity_Dept'!O21</f>
        <v>6.74</v>
      </c>
    </row>
    <row r="18" spans="1:6" ht="15.6" customHeight="1" thickBot="1" x14ac:dyDescent="0.3">
      <c r="A18" s="840" t="s">
        <v>2</v>
      </c>
      <c r="B18" s="120"/>
      <c r="C18" s="116" t="s">
        <v>8</v>
      </c>
      <c r="D18" s="132" t="s">
        <v>1269</v>
      </c>
      <c r="E18" s="161" t="str">
        <f>'Service Metric by Entity_Dept'!C24 &amp; "%tile"</f>
        <v>34%tile</v>
      </c>
      <c r="F18" s="10" t="s">
        <v>513</v>
      </c>
    </row>
    <row r="19" spans="1:6" ht="15.6" customHeight="1" thickBot="1" x14ac:dyDescent="0.3">
      <c r="A19" s="844"/>
      <c r="B19" s="164"/>
      <c r="C19" s="134" t="s">
        <v>9</v>
      </c>
      <c r="D19" s="212" t="s">
        <v>1349</v>
      </c>
      <c r="E19" s="203" t="str">
        <f>'Service Metric by Entity_Dept'!G24 &amp; "%tile"</f>
        <v>40%tile</v>
      </c>
      <c r="F19" s="10" t="s">
        <v>513</v>
      </c>
    </row>
    <row r="20" spans="1:6" ht="30" x14ac:dyDescent="0.25">
      <c r="A20" s="840" t="s">
        <v>3</v>
      </c>
      <c r="B20" s="120"/>
      <c r="C20" s="753" t="s">
        <v>360</v>
      </c>
      <c r="D20" s="6" t="s">
        <v>1277</v>
      </c>
      <c r="E20" s="143">
        <v>0.51</v>
      </c>
      <c r="F20" s="10" t="s">
        <v>513</v>
      </c>
    </row>
    <row r="21" spans="1:6" ht="15" x14ac:dyDescent="0.25">
      <c r="A21" s="841"/>
      <c r="B21" s="120"/>
      <c r="C21" s="874" t="s">
        <v>323</v>
      </c>
      <c r="D21" s="204" t="s">
        <v>1281</v>
      </c>
      <c r="E21" s="141">
        <v>0.9</v>
      </c>
      <c r="F21" s="10" t="s">
        <v>513</v>
      </c>
    </row>
    <row r="22" spans="1:6" ht="15.6" customHeight="1" thickBot="1" x14ac:dyDescent="0.3">
      <c r="A22" s="844"/>
      <c r="B22" s="120"/>
      <c r="C22" s="875"/>
      <c r="D22" s="6" t="s">
        <v>1280</v>
      </c>
      <c r="E22" s="143">
        <v>0.9</v>
      </c>
      <c r="F22" s="10" t="s">
        <v>513</v>
      </c>
    </row>
    <row r="23" spans="1:6" ht="15.6" customHeight="1" thickBot="1" x14ac:dyDescent="0.3">
      <c r="A23" s="127" t="s">
        <v>4</v>
      </c>
      <c r="B23" s="127"/>
      <c r="C23" s="129" t="s">
        <v>1</v>
      </c>
      <c r="D23" s="130" t="s">
        <v>325</v>
      </c>
      <c r="E23" s="260">
        <f>'Finance Metric by Entity_Dept'!R18</f>
        <v>0</v>
      </c>
    </row>
  </sheetData>
  <mergeCells count="10">
    <mergeCell ref="C21:C22"/>
    <mergeCell ref="C13:C15"/>
    <mergeCell ref="A20:A22"/>
    <mergeCell ref="A18:A19"/>
    <mergeCell ref="A4:A12"/>
    <mergeCell ref="C4:C6"/>
    <mergeCell ref="C7:C8"/>
    <mergeCell ref="C9:C10"/>
    <mergeCell ref="C11:C12"/>
    <mergeCell ref="A13:A17"/>
  </mergeCells>
  <pageMargins left="0.7" right="0.7" top="0.75" bottom="0.75" header="0.3" footer="0.3"/>
  <pageSetup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workbookViewId="0">
      <selection activeCell="E16" sqref="E16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44.7109375" style="2" customWidth="1"/>
    <col min="4" max="4" width="54.7109375" style="2" customWidth="1"/>
    <col min="5" max="5" width="25" style="2" customWidth="1"/>
    <col min="6" max="16384" width="8.7109375" style="2"/>
  </cols>
  <sheetData>
    <row r="1" spans="1:6" ht="18" x14ac:dyDescent="0.25">
      <c r="A1" s="135" t="s">
        <v>1302</v>
      </c>
      <c r="B1" s="135"/>
      <c r="E1" s="10"/>
    </row>
    <row r="2" spans="1:6" ht="13.5" thickBot="1" x14ac:dyDescent="0.25">
      <c r="D2" s="205"/>
    </row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1303</v>
      </c>
      <c r="E3" s="112" t="s">
        <v>316</v>
      </c>
    </row>
    <row r="4" spans="1:6" ht="15" x14ac:dyDescent="0.25">
      <c r="A4" s="840" t="s">
        <v>10</v>
      </c>
      <c r="B4" s="124"/>
      <c r="C4" s="876" t="s">
        <v>11</v>
      </c>
      <c r="D4" s="6" t="str">
        <f>Ob_Gyn!D4</f>
        <v>Achieve budgeted clinic visits at UNMH</v>
      </c>
      <c r="E4" s="206">
        <f>'Growth Metric by Entity_Dept'!C36</f>
        <v>59098.5</v>
      </c>
      <c r="F4" s="3" t="s">
        <v>513</v>
      </c>
    </row>
    <row r="5" spans="1:6" ht="15" x14ac:dyDescent="0.25">
      <c r="A5" s="841"/>
      <c r="B5" s="120"/>
      <c r="C5" s="874"/>
      <c r="D5" s="6" t="s">
        <v>1304</v>
      </c>
      <c r="E5" s="398">
        <f>'Growth Metric by Entity_Dept'!C38</f>
        <v>2139</v>
      </c>
      <c r="F5" s="3" t="s">
        <v>513</v>
      </c>
    </row>
    <row r="6" spans="1:6" ht="15.6" customHeight="1" x14ac:dyDescent="0.25">
      <c r="A6" s="841"/>
      <c r="B6" s="120"/>
      <c r="C6" s="874"/>
      <c r="D6" s="6" t="str">
        <f>Ob_Gyn!D5</f>
        <v>Achieve budgeted clinic visits at SRMC</v>
      </c>
      <c r="E6" s="398">
        <f>'Growth Metric by Entity_Dept'!C37</f>
        <v>8052</v>
      </c>
      <c r="F6" s="3" t="s">
        <v>513</v>
      </c>
    </row>
    <row r="7" spans="1:6" ht="15.6" customHeight="1" x14ac:dyDescent="0.25">
      <c r="A7" s="841"/>
      <c r="B7" s="120"/>
      <c r="C7" s="877" t="s">
        <v>317</v>
      </c>
      <c r="D7" s="125" t="s">
        <v>334</v>
      </c>
      <c r="E7" s="118">
        <f>'Growth Metric by Entity_Dept'!K36</f>
        <v>1469</v>
      </c>
    </row>
    <row r="8" spans="1:6" ht="15.6" customHeight="1" x14ac:dyDescent="0.25">
      <c r="A8" s="841"/>
      <c r="B8" s="120"/>
      <c r="C8" s="877"/>
      <c r="D8" s="125" t="str">
        <f>Ob_Gyn!D8</f>
        <v xml:space="preserve">Increase CMI by 4% </v>
      </c>
      <c r="E8" s="281">
        <f>'Growth Metric by Entity_Dept'!G36</f>
        <v>2.7664000000000004</v>
      </c>
    </row>
    <row r="9" spans="1:6" ht="15.6" customHeight="1" x14ac:dyDescent="0.25">
      <c r="A9" s="841"/>
      <c r="B9" s="120"/>
      <c r="C9" s="874" t="s">
        <v>6</v>
      </c>
      <c r="D9" s="52" t="str">
        <f>Ob_Gyn!D9</f>
        <v>Achieve budgeted surgical cases at UNMH</v>
      </c>
      <c r="E9" s="118">
        <f>'Growth Metric by Entity_Dept'!O36</f>
        <v>5623</v>
      </c>
      <c r="F9" s="3" t="s">
        <v>513</v>
      </c>
    </row>
    <row r="10" spans="1:6" ht="15.6" customHeight="1" x14ac:dyDescent="0.25">
      <c r="A10" s="841"/>
      <c r="B10" s="120"/>
      <c r="C10" s="874"/>
      <c r="D10" s="52" t="str">
        <f>Ob_Gyn!D10</f>
        <v>Achieve budgeted surgical cases at SRMC</v>
      </c>
      <c r="E10" s="118">
        <f>'Growth Metric by Entity_Dept'!O37</f>
        <v>1660</v>
      </c>
      <c r="F10" s="3" t="s">
        <v>513</v>
      </c>
    </row>
    <row r="11" spans="1:6" ht="15.6" customHeight="1" x14ac:dyDescent="0.25">
      <c r="A11" s="841"/>
      <c r="B11" s="120"/>
      <c r="C11" s="877" t="s">
        <v>15</v>
      </c>
      <c r="D11" s="52" t="str">
        <f>Ob_Gyn!D11</f>
        <v>Achieve budgeted  wRVUs - UNMH</v>
      </c>
      <c r="E11" s="165">
        <f>'Growth Metric by Entity_Dept'!S36</f>
        <v>179774.71</v>
      </c>
      <c r="F11" s="3" t="s">
        <v>513</v>
      </c>
    </row>
    <row r="12" spans="1:6" ht="15.6" customHeight="1" thickBot="1" x14ac:dyDescent="0.3">
      <c r="A12" s="844"/>
      <c r="B12" s="120"/>
      <c r="C12" s="882"/>
      <c r="D12" s="162" t="str">
        <f>Ob_Gyn!D12</f>
        <v>Achieve budgeted wRVUs - SRMC</v>
      </c>
      <c r="E12" s="202">
        <f>'Growth Metric by Entity_Dept'!S37</f>
        <v>32993.54</v>
      </c>
      <c r="F12" s="3" t="s">
        <v>513</v>
      </c>
    </row>
    <row r="13" spans="1:6" ht="15.6" customHeight="1" x14ac:dyDescent="0.25">
      <c r="A13" s="840" t="s">
        <v>7</v>
      </c>
      <c r="B13" s="113"/>
      <c r="C13" s="146" t="s">
        <v>330</v>
      </c>
      <c r="D13" s="52" t="s">
        <v>335</v>
      </c>
      <c r="E13" s="282">
        <f>'Qual_Saf Metric by Entity_Dept'!C22</f>
        <v>0.38380000000000003</v>
      </c>
    </row>
    <row r="14" spans="1:6" ht="15.6" customHeight="1" x14ac:dyDescent="0.25">
      <c r="A14" s="841"/>
      <c r="B14" s="120"/>
      <c r="C14" s="877" t="s">
        <v>361</v>
      </c>
      <c r="D14" s="167" t="s">
        <v>338</v>
      </c>
      <c r="E14" s="161">
        <v>0</v>
      </c>
    </row>
    <row r="15" spans="1:6" ht="15.6" customHeight="1" x14ac:dyDescent="0.25">
      <c r="A15" s="841"/>
      <c r="B15" s="120"/>
      <c r="C15" s="877"/>
      <c r="D15" s="125" t="s">
        <v>1344</v>
      </c>
      <c r="E15" s="823">
        <v>1.5599999999999999E-2</v>
      </c>
    </row>
    <row r="16" spans="1:6" ht="15.6" customHeight="1" x14ac:dyDescent="0.25">
      <c r="A16" s="841"/>
      <c r="B16" s="120"/>
      <c r="C16" s="877"/>
      <c r="D16" s="800" t="s">
        <v>1345</v>
      </c>
      <c r="E16" s="823">
        <v>2.3300000000000001E-2</v>
      </c>
    </row>
    <row r="17" spans="1:6" ht="15.6" customHeight="1" x14ac:dyDescent="0.25">
      <c r="A17" s="841"/>
      <c r="B17" s="120"/>
      <c r="C17" s="207" t="s">
        <v>318</v>
      </c>
      <c r="D17" s="125" t="s">
        <v>347</v>
      </c>
      <c r="E17" s="161">
        <v>2</v>
      </c>
    </row>
    <row r="18" spans="1:6" ht="15.6" customHeight="1" thickBot="1" x14ac:dyDescent="0.3">
      <c r="A18" s="841"/>
      <c r="B18" s="120"/>
      <c r="C18" s="750" t="s">
        <v>340</v>
      </c>
      <c r="D18" s="123" t="s">
        <v>348</v>
      </c>
      <c r="E18" s="288">
        <f>'Qual_Saf Metric by Entity_Dept'!O22</f>
        <v>6.02</v>
      </c>
    </row>
    <row r="19" spans="1:6" ht="15.6" customHeight="1" thickBot="1" x14ac:dyDescent="0.3">
      <c r="A19" s="840" t="s">
        <v>2</v>
      </c>
      <c r="B19" s="120"/>
      <c r="C19" s="114" t="s">
        <v>8</v>
      </c>
      <c r="D19" s="197" t="s">
        <v>1269</v>
      </c>
      <c r="E19" s="161" t="str">
        <f>'Service Metric by Entity_Dept'!C26 &amp; "%tile"</f>
        <v>26%tile</v>
      </c>
      <c r="F19" s="3" t="s">
        <v>513</v>
      </c>
    </row>
    <row r="20" spans="1:6" ht="15.6" customHeight="1" thickBot="1" x14ac:dyDescent="0.3">
      <c r="A20" s="844"/>
      <c r="B20" s="120"/>
      <c r="C20" s="116" t="s">
        <v>9</v>
      </c>
      <c r="D20" s="212" t="s">
        <v>1349</v>
      </c>
      <c r="E20" s="754" t="str">
        <f>'Service Metric by Entity_Dept'!G26 &amp; "%tile"</f>
        <v>25%tile</v>
      </c>
      <c r="F20" s="3" t="s">
        <v>513</v>
      </c>
    </row>
    <row r="21" spans="1:6" ht="30" x14ac:dyDescent="0.25">
      <c r="A21" s="840" t="s">
        <v>3</v>
      </c>
      <c r="B21" s="120"/>
      <c r="C21" s="395" t="s">
        <v>16</v>
      </c>
      <c r="D21" s="6" t="s">
        <v>1277</v>
      </c>
      <c r="E21" s="143">
        <v>0.51</v>
      </c>
      <c r="F21" s="10" t="s">
        <v>513</v>
      </c>
    </row>
    <row r="22" spans="1:6" ht="15.6" customHeight="1" thickBot="1" x14ac:dyDescent="0.3">
      <c r="A22" s="844"/>
      <c r="B22" s="120"/>
      <c r="C22" s="116" t="s">
        <v>323</v>
      </c>
      <c r="D22" s="6" t="s">
        <v>1280</v>
      </c>
      <c r="E22" s="143">
        <v>0.9</v>
      </c>
      <c r="F22" s="10" t="s">
        <v>513</v>
      </c>
    </row>
    <row r="23" spans="1:6" ht="15.6" customHeight="1" thickBot="1" x14ac:dyDescent="0.3">
      <c r="A23" s="127" t="s">
        <v>4</v>
      </c>
      <c r="B23" s="124"/>
      <c r="C23" s="129" t="s">
        <v>1</v>
      </c>
      <c r="D23" s="212" t="s">
        <v>325</v>
      </c>
      <c r="E23" s="260">
        <f>'Finance Metric by Entity_Dept'!R19</f>
        <v>0</v>
      </c>
    </row>
  </sheetData>
  <mergeCells count="9">
    <mergeCell ref="A21:A22"/>
    <mergeCell ref="A19:A20"/>
    <mergeCell ref="A4:A12"/>
    <mergeCell ref="C4:C6"/>
    <mergeCell ref="C7:C8"/>
    <mergeCell ref="C9:C10"/>
    <mergeCell ref="C11:C12"/>
    <mergeCell ref="A13:A18"/>
    <mergeCell ref="C14:C16"/>
  </mergeCells>
  <pageMargins left="0.7" right="0.7" top="0.75" bottom="0.75" header="0.3" footer="0.3"/>
  <pageSetup scale="8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"/>
  <sheetViews>
    <sheetView zoomScaleNormal="100" workbookViewId="0">
      <selection activeCell="D6" sqref="D6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38.7109375" style="2" customWidth="1"/>
    <col min="4" max="4" width="70.5703125" style="2" customWidth="1"/>
    <col min="5" max="5" width="20.7109375" style="2" customWidth="1"/>
    <col min="6" max="16384" width="8.7109375" style="2"/>
  </cols>
  <sheetData>
    <row r="1" spans="1:6" ht="18" x14ac:dyDescent="0.25">
      <c r="A1" s="135" t="s">
        <v>1316</v>
      </c>
      <c r="B1" s="135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5">
      <c r="A4" s="841"/>
      <c r="B4" s="120"/>
      <c r="C4" s="883" t="s">
        <v>15</v>
      </c>
      <c r="D4" s="125" t="str">
        <f>Orthopaedics!D11</f>
        <v>Achieve budgeted  wRVUs - UNMH</v>
      </c>
      <c r="E4" s="209">
        <f>'Growth Metric by Entity_Dept'!S40</f>
        <v>95317</v>
      </c>
      <c r="F4" s="3" t="s">
        <v>513</v>
      </c>
    </row>
    <row r="5" spans="1:6" ht="15.6" customHeight="1" thickBot="1" x14ac:dyDescent="0.3">
      <c r="A5" s="844"/>
      <c r="B5" s="120"/>
      <c r="C5" s="886"/>
      <c r="D5" s="123" t="str">
        <f>Orthopaedics!D12</f>
        <v>Achieve budgeted wRVUs - SRMC</v>
      </c>
      <c r="E5" s="209">
        <f>'Growth Metric by Entity_Dept'!S41</f>
        <v>20.34</v>
      </c>
      <c r="F5" s="3" t="s">
        <v>513</v>
      </c>
    </row>
    <row r="6" spans="1:6" ht="30" x14ac:dyDescent="0.25">
      <c r="A6" s="840" t="s">
        <v>7</v>
      </c>
      <c r="B6" s="124">
        <v>2.2000000000000002</v>
      </c>
      <c r="C6" s="888" t="str">
        <f>Orthopaedics!C14</f>
        <v>Hospital Acquired Infections (HAIs)</v>
      </c>
      <c r="D6" s="775" t="s">
        <v>542</v>
      </c>
      <c r="E6" s="776"/>
    </row>
    <row r="7" spans="1:6" ht="45.75" thickBot="1" x14ac:dyDescent="0.3">
      <c r="A7" s="887"/>
      <c r="B7" s="109">
        <v>2.2210000000000001</v>
      </c>
      <c r="C7" s="883"/>
      <c r="D7" s="777" t="s">
        <v>543</v>
      </c>
      <c r="E7" s="778"/>
    </row>
    <row r="8" spans="1:6" ht="30" x14ac:dyDescent="0.25">
      <c r="A8" s="841" t="s">
        <v>3</v>
      </c>
      <c r="B8" s="120"/>
      <c r="C8" s="753" t="s">
        <v>16</v>
      </c>
      <c r="D8" s="6" t="s">
        <v>1277</v>
      </c>
      <c r="E8" s="143">
        <v>0.51</v>
      </c>
      <c r="F8" s="10" t="s">
        <v>513</v>
      </c>
    </row>
    <row r="9" spans="1:6" ht="15.6" customHeight="1" thickBot="1" x14ac:dyDescent="0.3">
      <c r="A9" s="844"/>
      <c r="B9" s="120"/>
      <c r="C9" s="116" t="s">
        <v>323</v>
      </c>
      <c r="D9" s="6" t="s">
        <v>1280</v>
      </c>
      <c r="E9" s="143">
        <v>0.9</v>
      </c>
      <c r="F9" s="10" t="s">
        <v>513</v>
      </c>
    </row>
    <row r="10" spans="1:6" ht="15.6" customHeight="1" thickBot="1" x14ac:dyDescent="0.25">
      <c r="A10" s="183" t="s">
        <v>4</v>
      </c>
      <c r="B10" s="198"/>
      <c r="C10" s="210" t="s">
        <v>1</v>
      </c>
      <c r="D10" s="211" t="s">
        <v>325</v>
      </c>
      <c r="E10" s="259">
        <f>'Finance Metric by Entity_Dept'!R20</f>
        <v>0</v>
      </c>
    </row>
    <row r="11" spans="1:6" ht="33" customHeight="1" x14ac:dyDescent="0.2">
      <c r="E11" s="53"/>
    </row>
  </sheetData>
  <mergeCells count="5">
    <mergeCell ref="A8:A9"/>
    <mergeCell ref="A4:A5"/>
    <mergeCell ref="C4:C5"/>
    <mergeCell ref="A6:A7"/>
    <mergeCell ref="C6:C7"/>
  </mergeCells>
  <pageMargins left="0.7" right="0.7" top="0.75" bottom="0.75" header="0.3" footer="0.3"/>
  <pageSetup scale="5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1"/>
  <sheetViews>
    <sheetView zoomScale="99" workbookViewId="0">
      <selection activeCell="D18" sqref="D18"/>
    </sheetView>
  </sheetViews>
  <sheetFormatPr defaultColWidth="8.7109375" defaultRowHeight="12.75" x14ac:dyDescent="0.2"/>
  <cols>
    <col min="1" max="1" width="16.28515625" style="2" customWidth="1"/>
    <col min="2" max="2" width="13.42578125" style="2" hidden="1" customWidth="1"/>
    <col min="3" max="3" width="39.28515625" style="2" customWidth="1"/>
    <col min="4" max="4" width="69.85546875" style="2" customWidth="1"/>
    <col min="5" max="5" width="26" style="2" customWidth="1"/>
    <col min="6" max="6" width="8.7109375" style="9"/>
    <col min="7" max="16384" width="8.7109375" style="2"/>
  </cols>
  <sheetData>
    <row r="1" spans="1:6" ht="18" x14ac:dyDescent="0.25">
      <c r="A1" s="135" t="s">
        <v>1286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5">
      <c r="A4" s="840" t="s">
        <v>10</v>
      </c>
      <c r="B4" s="124"/>
      <c r="C4" s="876" t="s">
        <v>11</v>
      </c>
      <c r="D4" s="160" t="str">
        <f>Orthopaedics!D4</f>
        <v>Achieve budgeted clinic visits at UNMH</v>
      </c>
      <c r="E4" s="118">
        <f>'Growth Metric by Entity_Dept'!C43</f>
        <v>71440.500400000004</v>
      </c>
      <c r="F4" s="10" t="s">
        <v>513</v>
      </c>
    </row>
    <row r="5" spans="1:6" ht="15.6" customHeight="1" x14ac:dyDescent="0.25">
      <c r="A5" s="841"/>
      <c r="B5" s="120"/>
      <c r="C5" s="874"/>
      <c r="D5" s="125" t="str">
        <f>Ob_Gyn!D6</f>
        <v>Achieve budgeted clinic visits at UNMMG</v>
      </c>
      <c r="E5" s="118">
        <f>'Growth Metric by Entity_Dept'!C44</f>
        <v>4522</v>
      </c>
      <c r="F5" s="10" t="s">
        <v>513</v>
      </c>
    </row>
    <row r="6" spans="1:6" ht="15.6" customHeight="1" x14ac:dyDescent="0.25">
      <c r="A6" s="841"/>
      <c r="B6" s="120"/>
      <c r="C6" s="394"/>
      <c r="D6" s="125" t="s">
        <v>1275</v>
      </c>
      <c r="E6" s="287">
        <f>'Growth Metric by Entity_Dept'!G43</f>
        <v>1.82</v>
      </c>
      <c r="F6" s="10"/>
    </row>
    <row r="7" spans="1:6" ht="15.6" customHeight="1" thickBot="1" x14ac:dyDescent="0.3">
      <c r="A7" s="844"/>
      <c r="B7" s="120"/>
      <c r="C7" s="116" t="s">
        <v>15</v>
      </c>
      <c r="D7" s="5" t="str">
        <f>Orthopaedics!D11</f>
        <v>Achieve budgeted  wRVUs - UNMH</v>
      </c>
      <c r="E7" s="165">
        <f>'Growth Metric by Entity_Dept'!S43</f>
        <v>280333</v>
      </c>
      <c r="F7" s="10" t="s">
        <v>513</v>
      </c>
    </row>
    <row r="8" spans="1:6" ht="15.6" customHeight="1" x14ac:dyDescent="0.25">
      <c r="A8" s="840" t="s">
        <v>7</v>
      </c>
      <c r="B8" s="131"/>
      <c r="C8" s="114" t="s">
        <v>330</v>
      </c>
      <c r="D8" s="213" t="s">
        <v>335</v>
      </c>
      <c r="E8" s="289">
        <f>'Qual_Saf Metric by Entity_Dept'!C24</f>
        <v>0.83829999999999993</v>
      </c>
      <c r="F8" s="10"/>
    </row>
    <row r="9" spans="1:6" ht="15.6" customHeight="1" x14ac:dyDescent="0.25">
      <c r="A9" s="841"/>
      <c r="B9" s="120"/>
      <c r="C9" s="883" t="s">
        <v>336</v>
      </c>
      <c r="D9" s="167" t="s">
        <v>362</v>
      </c>
      <c r="E9" s="161">
        <v>4</v>
      </c>
      <c r="F9" s="10"/>
    </row>
    <row r="10" spans="1:6" ht="15.6" customHeight="1" x14ac:dyDescent="0.25">
      <c r="A10" s="841"/>
      <c r="B10" s="120"/>
      <c r="C10" s="883"/>
      <c r="D10" s="167" t="s">
        <v>363</v>
      </c>
      <c r="E10" s="161">
        <v>0</v>
      </c>
      <c r="F10" s="10"/>
    </row>
    <row r="11" spans="1:6" ht="15.6" customHeight="1" x14ac:dyDescent="0.25">
      <c r="A11" s="841"/>
      <c r="B11" s="120"/>
      <c r="C11" s="883"/>
      <c r="D11" s="125" t="s">
        <v>364</v>
      </c>
      <c r="E11" s="214">
        <v>6</v>
      </c>
      <c r="F11" s="10" t="s">
        <v>513</v>
      </c>
    </row>
    <row r="12" spans="1:6" ht="15.6" customHeight="1" x14ac:dyDescent="0.25">
      <c r="A12" s="841"/>
      <c r="B12" s="120"/>
      <c r="C12" s="116" t="s">
        <v>357</v>
      </c>
      <c r="D12" s="125" t="s">
        <v>348</v>
      </c>
      <c r="E12" s="282">
        <f>'Qual_Saf Metric by Entity_Dept'!O24</f>
        <v>6.69</v>
      </c>
      <c r="F12" s="10"/>
    </row>
    <row r="13" spans="1:6" s="788" customFormat="1" ht="15.6" customHeight="1" x14ac:dyDescent="0.25">
      <c r="A13" s="841"/>
      <c r="B13" s="799"/>
      <c r="C13" s="877" t="s">
        <v>511</v>
      </c>
      <c r="D13" s="800" t="s">
        <v>1337</v>
      </c>
      <c r="E13" s="363">
        <v>0.9</v>
      </c>
      <c r="F13" s="792"/>
    </row>
    <row r="14" spans="1:6" s="788" customFormat="1" ht="15.6" customHeight="1" x14ac:dyDescent="0.25">
      <c r="A14" s="841"/>
      <c r="B14" s="799"/>
      <c r="C14" s="877"/>
      <c r="D14" s="800" t="s">
        <v>1338</v>
      </c>
      <c r="E14" s="363">
        <v>0.9</v>
      </c>
      <c r="F14" s="792"/>
    </row>
    <row r="15" spans="1:6" s="788" customFormat="1" ht="15.6" customHeight="1" x14ac:dyDescent="0.25">
      <c r="A15" s="841"/>
      <c r="B15" s="799"/>
      <c r="C15" s="877"/>
      <c r="D15" s="800" t="s">
        <v>1335</v>
      </c>
      <c r="E15" s="363">
        <v>0.8</v>
      </c>
      <c r="F15" s="792"/>
    </row>
    <row r="16" spans="1:6" ht="15.75" thickBot="1" x14ac:dyDescent="0.25">
      <c r="A16" s="844"/>
      <c r="B16" s="120"/>
      <c r="C16" s="882"/>
      <c r="D16" s="159" t="s">
        <v>1276</v>
      </c>
      <c r="E16" s="369">
        <f>'Qual_Saf Metric by Entity_Dept'!AW6</f>
        <v>0.9</v>
      </c>
      <c r="F16" s="10" t="s">
        <v>513</v>
      </c>
    </row>
    <row r="17" spans="1:6" ht="15.6" customHeight="1" thickBot="1" x14ac:dyDescent="0.3">
      <c r="A17" s="840" t="s">
        <v>2</v>
      </c>
      <c r="B17" s="120"/>
      <c r="C17" s="163" t="s">
        <v>365</v>
      </c>
      <c r="D17" s="121" t="s">
        <v>366</v>
      </c>
      <c r="E17" s="161">
        <f>'Service Metric by Entity_Dept'!C28</f>
        <v>69.099999999999994</v>
      </c>
      <c r="F17" s="10" t="s">
        <v>513</v>
      </c>
    </row>
    <row r="18" spans="1:6" ht="15.6" customHeight="1" thickBot="1" x14ac:dyDescent="0.3">
      <c r="A18" s="844"/>
      <c r="B18" s="120"/>
      <c r="C18" s="163" t="s">
        <v>9</v>
      </c>
      <c r="D18" s="212" t="s">
        <v>1349</v>
      </c>
      <c r="E18" s="754" t="str">
        <f>'Service Metric by Entity_Dept'!G28 &amp; "%tile"</f>
        <v>27%tile</v>
      </c>
      <c r="F18" s="10" t="s">
        <v>513</v>
      </c>
    </row>
    <row r="19" spans="1:6" ht="30" x14ac:dyDescent="0.25">
      <c r="A19" s="841" t="s">
        <v>3</v>
      </c>
      <c r="B19" s="120"/>
      <c r="C19" s="753" t="s">
        <v>16</v>
      </c>
      <c r="D19" s="6" t="s">
        <v>1277</v>
      </c>
      <c r="E19" s="143">
        <v>0.51</v>
      </c>
      <c r="F19" s="10" t="s">
        <v>513</v>
      </c>
    </row>
    <row r="20" spans="1:6" ht="15.6" customHeight="1" thickBot="1" x14ac:dyDescent="0.3">
      <c r="A20" s="844"/>
      <c r="B20" s="120"/>
      <c r="C20" s="116" t="s">
        <v>323</v>
      </c>
      <c r="D20" s="6" t="s">
        <v>1279</v>
      </c>
      <c r="E20" s="143">
        <v>0.9</v>
      </c>
      <c r="F20" s="10" t="s">
        <v>513</v>
      </c>
    </row>
    <row r="21" spans="1:6" ht="15.6" customHeight="1" thickBot="1" x14ac:dyDescent="0.3">
      <c r="A21" s="127" t="s">
        <v>4</v>
      </c>
      <c r="B21" s="128"/>
      <c r="C21" s="129" t="s">
        <v>1</v>
      </c>
      <c r="D21" s="212" t="s">
        <v>325</v>
      </c>
      <c r="E21" s="260">
        <f>'Finance Metric by Entity_Dept'!R21</f>
        <v>0</v>
      </c>
      <c r="F21" s="10"/>
    </row>
  </sheetData>
  <mergeCells count="7">
    <mergeCell ref="A19:A20"/>
    <mergeCell ref="A4:A7"/>
    <mergeCell ref="C4:C5"/>
    <mergeCell ref="C9:C11"/>
    <mergeCell ref="A17:A18"/>
    <mergeCell ref="A8:A16"/>
    <mergeCell ref="C13:C16"/>
  </mergeCells>
  <pageMargins left="0.7" right="0.7" top="0.75" bottom="0.75" header="0.3" footer="0.3"/>
  <pageSetup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topLeftCell="C10" workbookViewId="0">
      <selection activeCell="F21" sqref="F21"/>
    </sheetView>
  </sheetViews>
  <sheetFormatPr defaultColWidth="8.7109375" defaultRowHeight="12.75" x14ac:dyDescent="0.2"/>
  <cols>
    <col min="1" max="1" width="15.85546875" style="2" customWidth="1"/>
    <col min="2" max="2" width="15.85546875" style="2" hidden="1" customWidth="1"/>
    <col min="3" max="3" width="32.5703125" style="2" customWidth="1"/>
    <col min="4" max="4" width="64.42578125" style="2" customWidth="1"/>
    <col min="5" max="5" width="25" style="2" customWidth="1"/>
    <col min="6" max="6" width="43" style="2" customWidth="1"/>
    <col min="7" max="7" width="21.7109375" style="2" customWidth="1"/>
    <col min="8" max="8" width="20.7109375" style="2" customWidth="1"/>
    <col min="9" max="16384" width="8.7109375" style="2"/>
  </cols>
  <sheetData>
    <row r="1" spans="1:6" ht="18" x14ac:dyDescent="0.25">
      <c r="A1" s="135" t="s">
        <v>1309</v>
      </c>
      <c r="B1" s="135"/>
      <c r="E1" s="10"/>
    </row>
    <row r="2" spans="1:6" ht="13.5" thickBot="1" x14ac:dyDescent="0.25"/>
    <row r="3" spans="1:6" ht="15.75" thickBot="1" x14ac:dyDescent="0.3">
      <c r="A3" s="215" t="s">
        <v>0</v>
      </c>
      <c r="B3" s="215" t="s">
        <v>314</v>
      </c>
      <c r="C3" s="216" t="s">
        <v>5</v>
      </c>
      <c r="D3" s="217" t="s">
        <v>561</v>
      </c>
      <c r="E3" s="189" t="s">
        <v>316</v>
      </c>
    </row>
    <row r="4" spans="1:6" ht="15.6" customHeight="1" x14ac:dyDescent="0.2">
      <c r="A4" s="840" t="s">
        <v>10</v>
      </c>
      <c r="B4" s="124"/>
      <c r="C4" s="889" t="s">
        <v>11</v>
      </c>
      <c r="D4" s="144" t="s">
        <v>393</v>
      </c>
      <c r="E4" s="218">
        <f>'Growth Metric by Entity_Dept'!C46</f>
        <v>48774</v>
      </c>
      <c r="F4" s="3" t="s">
        <v>513</v>
      </c>
    </row>
    <row r="5" spans="1:6" ht="15.6" customHeight="1" x14ac:dyDescent="0.2">
      <c r="A5" s="841"/>
      <c r="B5" s="120"/>
      <c r="C5" s="884"/>
      <c r="D5" s="145" t="s">
        <v>394</v>
      </c>
      <c r="E5" s="218">
        <f>'Growth Metric by Entity_Dept'!C47</f>
        <v>11005</v>
      </c>
      <c r="F5" s="3" t="s">
        <v>513</v>
      </c>
    </row>
    <row r="6" spans="1:6" s="788" customFormat="1" ht="15.6" customHeight="1" x14ac:dyDescent="0.2">
      <c r="A6" s="841"/>
      <c r="B6" s="115"/>
      <c r="C6" s="884"/>
      <c r="D6" s="145" t="s">
        <v>1350</v>
      </c>
      <c r="E6" s="218">
        <f>'Growth Metric by Entity_Dept'!C49</f>
        <v>2170</v>
      </c>
      <c r="F6" s="789" t="s">
        <v>513</v>
      </c>
    </row>
    <row r="7" spans="1:6" ht="15.6" customHeight="1" x14ac:dyDescent="0.2">
      <c r="A7" s="841"/>
      <c r="B7" s="115"/>
      <c r="C7" s="884" t="s">
        <v>317</v>
      </c>
      <c r="D7" s="145" t="s">
        <v>392</v>
      </c>
      <c r="E7" s="218">
        <f>'Growth Metric by Entity_Dept'!K46</f>
        <v>1695</v>
      </c>
    </row>
    <row r="8" spans="1:6" ht="15.6" customHeight="1" x14ac:dyDescent="0.2">
      <c r="A8" s="841"/>
      <c r="B8" s="115"/>
      <c r="C8" s="884"/>
      <c r="D8" s="145" t="s">
        <v>367</v>
      </c>
      <c r="E8" s="219">
        <v>23934</v>
      </c>
    </row>
    <row r="9" spans="1:6" ht="15.6" customHeight="1" x14ac:dyDescent="0.25">
      <c r="A9" s="841"/>
      <c r="B9" s="115"/>
      <c r="C9" s="883" t="s">
        <v>15</v>
      </c>
      <c r="D9" s="125" t="str">
        <f>Pathology!D4</f>
        <v>Achieve budgeted  wRVUs - UNMH</v>
      </c>
      <c r="E9" s="220">
        <f>'Growth Metric by Entity_Dept'!S46</f>
        <v>103221</v>
      </c>
      <c r="F9" s="3" t="s">
        <v>513</v>
      </c>
    </row>
    <row r="10" spans="1:6" ht="15.6" customHeight="1" thickBot="1" x14ac:dyDescent="0.3">
      <c r="A10" s="844"/>
      <c r="B10" s="115"/>
      <c r="C10" s="886"/>
      <c r="D10" s="125" t="str">
        <f>Pathology!D5</f>
        <v>Achieve budgeted wRVUs - SRMC</v>
      </c>
      <c r="E10" s="220">
        <f>'Growth Metric by Entity_Dept'!S48</f>
        <v>3469</v>
      </c>
      <c r="F10" s="3" t="s">
        <v>513</v>
      </c>
    </row>
    <row r="11" spans="1:6" ht="15.6" customHeight="1" x14ac:dyDescent="0.2">
      <c r="A11" s="840" t="s">
        <v>7</v>
      </c>
      <c r="B11" s="124"/>
      <c r="C11" s="888" t="s">
        <v>368</v>
      </c>
      <c r="D11" s="144" t="s">
        <v>369</v>
      </c>
      <c r="E11" s="396">
        <v>0.9</v>
      </c>
      <c r="F11" s="3" t="s">
        <v>513</v>
      </c>
    </row>
    <row r="12" spans="1:6" ht="15.6" customHeight="1" x14ac:dyDescent="0.2">
      <c r="A12" s="841"/>
      <c r="B12" s="120"/>
      <c r="C12" s="883"/>
      <c r="D12" s="145" t="s">
        <v>370</v>
      </c>
      <c r="E12" s="397">
        <v>0</v>
      </c>
      <c r="F12" s="3" t="s">
        <v>513</v>
      </c>
    </row>
    <row r="13" spans="1:6" ht="15.6" customHeight="1" x14ac:dyDescent="0.2">
      <c r="A13" s="841"/>
      <c r="B13" s="120"/>
      <c r="C13" s="874" t="s">
        <v>357</v>
      </c>
      <c r="D13" s="145" t="s">
        <v>484</v>
      </c>
      <c r="E13" s="285">
        <f>'Qual_Saf Metric by Entity_Dept'!O25</f>
        <v>9.74</v>
      </c>
    </row>
    <row r="14" spans="1:6" ht="15.6" customHeight="1" x14ac:dyDescent="0.2">
      <c r="A14" s="841"/>
      <c r="B14" s="120"/>
      <c r="C14" s="874"/>
      <c r="D14" s="145" t="s">
        <v>485</v>
      </c>
      <c r="E14" s="285">
        <f>'Qual_Saf Metric by Entity_Dept'!O26</f>
        <v>5.34</v>
      </c>
    </row>
    <row r="15" spans="1:6" ht="45.75" thickBot="1" x14ac:dyDescent="0.25">
      <c r="A15" s="844"/>
      <c r="B15" s="120"/>
      <c r="C15" s="368" t="s">
        <v>511</v>
      </c>
      <c r="D15" s="370" t="s">
        <v>1310</v>
      </c>
      <c r="E15" s="371">
        <v>0.65</v>
      </c>
      <c r="F15" s="773" t="s">
        <v>513</v>
      </c>
    </row>
    <row r="16" spans="1:6" s="788" customFormat="1" ht="15.75" thickBot="1" x14ac:dyDescent="0.25">
      <c r="A16" s="825"/>
      <c r="B16" s="799"/>
      <c r="C16" s="745" t="s">
        <v>9</v>
      </c>
      <c r="D16" s="370" t="s">
        <v>1357</v>
      </c>
      <c r="E16" s="829">
        <f>'Service Metric by Entity_Dept'!G30</f>
        <v>75</v>
      </c>
      <c r="F16" s="773"/>
    </row>
    <row r="17" spans="1:6" ht="15.6" customHeight="1" thickBot="1" x14ac:dyDescent="0.25">
      <c r="A17" s="747" t="s">
        <v>2</v>
      </c>
      <c r="B17" s="120"/>
      <c r="C17" s="163" t="s">
        <v>8</v>
      </c>
      <c r="D17" s="771" t="s">
        <v>1356</v>
      </c>
      <c r="E17" s="772">
        <f>'Service Metric by Entity_Dept'!C30</f>
        <v>75</v>
      </c>
      <c r="F17" s="3" t="s">
        <v>513</v>
      </c>
    </row>
    <row r="18" spans="1:6" ht="30" x14ac:dyDescent="0.25">
      <c r="A18" s="840" t="s">
        <v>3</v>
      </c>
      <c r="B18" s="120"/>
      <c r="C18" s="395" t="s">
        <v>16</v>
      </c>
      <c r="D18" s="6" t="s">
        <v>1277</v>
      </c>
      <c r="E18" s="143">
        <v>0.51</v>
      </c>
      <c r="F18" s="10" t="s">
        <v>513</v>
      </c>
    </row>
    <row r="19" spans="1:6" ht="15" x14ac:dyDescent="0.25">
      <c r="A19" s="841"/>
      <c r="B19" s="120"/>
      <c r="C19" s="874" t="s">
        <v>323</v>
      </c>
      <c r="D19" s="204" t="s">
        <v>1281</v>
      </c>
      <c r="E19" s="141">
        <v>0.9</v>
      </c>
      <c r="F19" s="10" t="s">
        <v>513</v>
      </c>
    </row>
    <row r="20" spans="1:6" ht="15.6" customHeight="1" thickBot="1" x14ac:dyDescent="0.3">
      <c r="A20" s="844"/>
      <c r="B20" s="120"/>
      <c r="C20" s="875"/>
      <c r="D20" s="6" t="s">
        <v>1280</v>
      </c>
      <c r="E20" s="143">
        <v>0.9</v>
      </c>
      <c r="F20" s="10" t="s">
        <v>513</v>
      </c>
    </row>
    <row r="21" spans="1:6" ht="15.6" customHeight="1" thickBot="1" x14ac:dyDescent="0.25">
      <c r="A21" s="127" t="s">
        <v>4</v>
      </c>
      <c r="B21" s="198"/>
      <c r="C21" s="372" t="s">
        <v>1</v>
      </c>
      <c r="D21" s="211" t="s">
        <v>325</v>
      </c>
      <c r="E21" s="259">
        <f>'Finance Metric by Entity_Dept'!R22</f>
        <v>0</v>
      </c>
    </row>
    <row r="22" spans="1:6" x14ac:dyDescent="0.2">
      <c r="E22" s="53"/>
    </row>
    <row r="23" spans="1:6" x14ac:dyDescent="0.2">
      <c r="A23" s="3"/>
      <c r="C23" s="3"/>
      <c r="D23" s="3"/>
    </row>
  </sheetData>
  <mergeCells count="9">
    <mergeCell ref="A18:A20"/>
    <mergeCell ref="C19:C20"/>
    <mergeCell ref="A4:A10"/>
    <mergeCell ref="C7:C8"/>
    <mergeCell ref="C9:C10"/>
    <mergeCell ref="C11:C12"/>
    <mergeCell ref="C13:C14"/>
    <mergeCell ref="A11:A15"/>
    <mergeCell ref="C4:C6"/>
  </mergeCells>
  <pageMargins left="0.7" right="0.7" top="0.75" bottom="0.75" header="0.3" footer="0.3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6"/>
  <sheetViews>
    <sheetView workbookViewId="0">
      <selection activeCell="D20" sqref="D20:F22"/>
    </sheetView>
  </sheetViews>
  <sheetFormatPr defaultColWidth="8.7109375" defaultRowHeight="12.75" x14ac:dyDescent="0.2"/>
  <cols>
    <col min="1" max="1" width="16.5703125" style="2" customWidth="1"/>
    <col min="2" max="2" width="15.28515625" style="2" hidden="1" customWidth="1"/>
    <col min="3" max="3" width="42.28515625" style="2" customWidth="1"/>
    <col min="4" max="4" width="50.140625" style="2" customWidth="1"/>
    <col min="5" max="5" width="20.7109375" style="2" customWidth="1"/>
    <col min="6" max="16384" width="8.7109375" style="2"/>
  </cols>
  <sheetData>
    <row r="1" spans="1:6" ht="18" x14ac:dyDescent="0.25">
      <c r="A1" s="135" t="s">
        <v>1294</v>
      </c>
      <c r="B1" s="135"/>
      <c r="E1" s="10"/>
    </row>
    <row r="2" spans="1:6" ht="13.5" thickBot="1" x14ac:dyDescent="0.25"/>
    <row r="3" spans="1:6" ht="15.75" thickBot="1" x14ac:dyDescent="0.25">
      <c r="A3" s="223" t="s">
        <v>0</v>
      </c>
      <c r="B3" s="224" t="s">
        <v>314</v>
      </c>
      <c r="C3" s="225" t="s">
        <v>5</v>
      </c>
      <c r="D3" s="226" t="s">
        <v>561</v>
      </c>
      <c r="E3" s="226" t="s">
        <v>316</v>
      </c>
    </row>
    <row r="4" spans="1:6" ht="25.5" x14ac:dyDescent="0.2">
      <c r="A4" s="890" t="s">
        <v>10</v>
      </c>
      <c r="B4" s="227"/>
      <c r="C4" s="384" t="s">
        <v>11</v>
      </c>
      <c r="D4" s="228" t="s">
        <v>522</v>
      </c>
      <c r="E4" s="263" t="s">
        <v>523</v>
      </c>
      <c r="F4" s="3" t="s">
        <v>513</v>
      </c>
    </row>
    <row r="5" spans="1:6" ht="15.6" customHeight="1" x14ac:dyDescent="0.2">
      <c r="A5" s="891"/>
      <c r="B5" s="229"/>
      <c r="C5" s="230" t="s">
        <v>317</v>
      </c>
      <c r="D5" s="54" t="s">
        <v>524</v>
      </c>
      <c r="E5" s="378" t="s">
        <v>525</v>
      </c>
      <c r="F5" s="3" t="s">
        <v>513</v>
      </c>
    </row>
    <row r="6" spans="1:6" ht="15.6" customHeight="1" x14ac:dyDescent="0.25">
      <c r="A6" s="891"/>
      <c r="B6" s="229"/>
      <c r="C6" s="893" t="s">
        <v>371</v>
      </c>
      <c r="D6" s="55" t="str">
        <f>Psychiatry!D9</f>
        <v>Achieve budgeted  wRVUs - UNMH</v>
      </c>
      <c r="E6" s="231">
        <f>'Growth Metric by Entity_Dept'!S51</f>
        <v>233488.6099999999</v>
      </c>
      <c r="F6" s="3" t="s">
        <v>513</v>
      </c>
    </row>
    <row r="7" spans="1:6" ht="15.6" customHeight="1" thickBot="1" x14ac:dyDescent="0.3">
      <c r="A7" s="892"/>
      <c r="B7" s="232"/>
      <c r="C7" s="894"/>
      <c r="D7" s="123" t="str">
        <f>Psychiatry!D10</f>
        <v>Achieve budgeted wRVUs - SRMC</v>
      </c>
      <c r="E7" s="233">
        <f>'Growth Metric by Entity_Dept'!S52</f>
        <v>38789</v>
      </c>
      <c r="F7" s="3" t="s">
        <v>513</v>
      </c>
    </row>
    <row r="8" spans="1:6" ht="15.6" customHeight="1" x14ac:dyDescent="0.2">
      <c r="A8" s="890" t="s">
        <v>7</v>
      </c>
      <c r="B8" s="227"/>
      <c r="C8" s="295" t="s">
        <v>526</v>
      </c>
      <c r="D8" s="296" t="s">
        <v>527</v>
      </c>
      <c r="E8" s="222">
        <v>0</v>
      </c>
      <c r="F8" s="3" t="s">
        <v>513</v>
      </c>
    </row>
    <row r="9" spans="1:6" ht="15.6" customHeight="1" x14ac:dyDescent="0.2">
      <c r="A9" s="891"/>
      <c r="B9" s="234"/>
      <c r="C9" s="877" t="s">
        <v>318</v>
      </c>
      <c r="D9" s="235" t="s">
        <v>528</v>
      </c>
      <c r="E9" s="388">
        <v>0.9</v>
      </c>
    </row>
    <row r="10" spans="1:6" ht="25.5" x14ac:dyDescent="0.2">
      <c r="A10" s="891"/>
      <c r="B10" s="234"/>
      <c r="C10" s="877"/>
      <c r="D10" s="235" t="s">
        <v>529</v>
      </c>
      <c r="E10" s="388">
        <v>0.9</v>
      </c>
    </row>
    <row r="11" spans="1:6" ht="30.75" thickBot="1" x14ac:dyDescent="0.25">
      <c r="A11" s="892"/>
      <c r="B11" s="236"/>
      <c r="C11" s="368" t="s">
        <v>511</v>
      </c>
      <c r="D11" s="297" t="s">
        <v>508</v>
      </c>
      <c r="E11" s="379">
        <v>0.65</v>
      </c>
      <c r="F11" s="3" t="s">
        <v>513</v>
      </c>
    </row>
    <row r="12" spans="1:6" ht="15.6" customHeight="1" thickBot="1" x14ac:dyDescent="0.25">
      <c r="A12" s="237" t="s">
        <v>2</v>
      </c>
      <c r="B12" s="234"/>
      <c r="C12" s="238" t="s">
        <v>333</v>
      </c>
      <c r="D12" s="765" t="s">
        <v>530</v>
      </c>
      <c r="E12" s="766">
        <f>'Service Metric by Entity_Dept'!G32</f>
        <v>90</v>
      </c>
      <c r="F12" s="3" t="s">
        <v>513</v>
      </c>
    </row>
    <row r="13" spans="1:6" ht="30" x14ac:dyDescent="0.25">
      <c r="A13" s="890" t="s">
        <v>3</v>
      </c>
      <c r="B13" s="234"/>
      <c r="C13" s="764" t="s">
        <v>16</v>
      </c>
      <c r="D13" s="6" t="s">
        <v>1277</v>
      </c>
      <c r="E13" s="143">
        <v>0.51</v>
      </c>
      <c r="F13" s="3" t="s">
        <v>513</v>
      </c>
    </row>
    <row r="14" spans="1:6" ht="15" x14ac:dyDescent="0.25">
      <c r="A14" s="891"/>
      <c r="B14" s="234"/>
      <c r="C14" s="874" t="s">
        <v>323</v>
      </c>
      <c r="D14" s="6" t="s">
        <v>1280</v>
      </c>
      <c r="E14" s="143">
        <v>0.9</v>
      </c>
      <c r="F14" s="3" t="s">
        <v>513</v>
      </c>
    </row>
    <row r="15" spans="1:6" ht="15.75" thickBot="1" x14ac:dyDescent="0.3">
      <c r="A15" s="892"/>
      <c r="B15" s="236"/>
      <c r="C15" s="875"/>
      <c r="D15" s="6" t="s">
        <v>1279</v>
      </c>
      <c r="E15" s="143">
        <v>0.9</v>
      </c>
      <c r="F15" s="3" t="s">
        <v>513</v>
      </c>
    </row>
    <row r="16" spans="1:6" ht="15.6" customHeight="1" thickBot="1" x14ac:dyDescent="0.25">
      <c r="A16" s="373" t="s">
        <v>4</v>
      </c>
      <c r="B16" s="374"/>
      <c r="C16" s="375" t="s">
        <v>1</v>
      </c>
      <c r="D16" s="376" t="s">
        <v>325</v>
      </c>
      <c r="E16" s="377">
        <f>'Finance Metric by Entity_Dept'!R23</f>
        <v>0</v>
      </c>
    </row>
  </sheetData>
  <mergeCells count="6">
    <mergeCell ref="A4:A7"/>
    <mergeCell ref="C6:C7"/>
    <mergeCell ref="A8:A11"/>
    <mergeCell ref="C9:C10"/>
    <mergeCell ref="C14:C15"/>
    <mergeCell ref="A13:A15"/>
  </mergeCells>
  <pageMargins left="0.7" right="0.7" top="0.75" bottom="0.75" header="0.3" footer="0.3"/>
  <pageSetup scale="81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8"/>
  <sheetViews>
    <sheetView topLeftCell="A11" workbookViewId="0">
      <selection activeCell="D24" sqref="D24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39.140625" style="2" customWidth="1"/>
    <col min="4" max="4" width="56.28515625" style="2" customWidth="1"/>
    <col min="5" max="5" width="27.5703125" style="2" customWidth="1"/>
    <col min="6" max="16384" width="8.7109375" style="2"/>
  </cols>
  <sheetData>
    <row r="1" spans="1:6" ht="18" x14ac:dyDescent="0.25">
      <c r="A1" s="135" t="s">
        <v>1300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15.6" customHeight="1" x14ac:dyDescent="0.2">
      <c r="A4" s="840" t="s">
        <v>10</v>
      </c>
      <c r="B4" s="124"/>
      <c r="C4" s="888" t="s">
        <v>11</v>
      </c>
      <c r="D4" s="241" t="str">
        <f>Orthopaedics!D4</f>
        <v>Achieve budgeted clinic visits at UNMH</v>
      </c>
      <c r="E4" s="219">
        <f>'Growth Metric by Entity_Dept'!C54</f>
        <v>67115.998799999987</v>
      </c>
      <c r="F4" s="3" t="s">
        <v>513</v>
      </c>
    </row>
    <row r="5" spans="1:6" ht="15.6" customHeight="1" x14ac:dyDescent="0.2">
      <c r="A5" s="841"/>
      <c r="B5" s="120"/>
      <c r="C5" s="883"/>
      <c r="D5" s="241" t="str">
        <f>Orthopaedics!D6</f>
        <v>Achieve budgeted clinic visits at SRMC</v>
      </c>
      <c r="E5" s="219">
        <f>'Growth Metric by Entity_Dept'!C55</f>
        <v>8782</v>
      </c>
      <c r="F5" s="3" t="s">
        <v>513</v>
      </c>
    </row>
    <row r="6" spans="1:6" ht="15.6" customHeight="1" x14ac:dyDescent="0.2">
      <c r="A6" s="841"/>
      <c r="B6" s="120"/>
      <c r="C6" s="895" t="s">
        <v>317</v>
      </c>
      <c r="D6" s="241" t="s">
        <v>334</v>
      </c>
      <c r="E6" s="219">
        <f>'Growth Metric by Entity_Dept'!K54</f>
        <v>6900</v>
      </c>
    </row>
    <row r="7" spans="1:6" ht="15.6" customHeight="1" x14ac:dyDescent="0.2">
      <c r="A7" s="841"/>
      <c r="B7" s="120"/>
      <c r="C7" s="895"/>
      <c r="D7" s="175" t="str">
        <f>Pediatrics!D6</f>
        <v xml:space="preserve">Increase CMI by 4% </v>
      </c>
      <c r="E7" s="290">
        <f>'Growth Metric by Entity_Dept'!G54</f>
        <v>3.1928000000000001</v>
      </c>
    </row>
    <row r="8" spans="1:6" ht="15.6" customHeight="1" x14ac:dyDescent="0.2">
      <c r="A8" s="841"/>
      <c r="B8" s="120"/>
      <c r="C8" s="883" t="s">
        <v>6</v>
      </c>
      <c r="D8" s="243" t="str">
        <f>Orthopaedics!D9</f>
        <v>Achieve budgeted surgical cases at UNMH</v>
      </c>
      <c r="E8" s="219">
        <f>'Growth Metric by Entity_Dept'!O54</f>
        <v>12289</v>
      </c>
      <c r="F8" s="3" t="s">
        <v>513</v>
      </c>
    </row>
    <row r="9" spans="1:6" ht="15.6" customHeight="1" x14ac:dyDescent="0.2">
      <c r="A9" s="841"/>
      <c r="B9" s="120"/>
      <c r="C9" s="883"/>
      <c r="D9" s="243" t="str">
        <f>Orthopaedics!D10</f>
        <v>Achieve budgeted surgical cases at SRMC</v>
      </c>
      <c r="E9" s="219">
        <f>'Growth Metric by Entity_Dept'!O55</f>
        <v>1478</v>
      </c>
      <c r="F9" s="3" t="s">
        <v>513</v>
      </c>
    </row>
    <row r="10" spans="1:6" ht="15.6" customHeight="1" x14ac:dyDescent="0.2">
      <c r="A10" s="841"/>
      <c r="B10" s="120"/>
      <c r="C10" s="883" t="s">
        <v>15</v>
      </c>
      <c r="D10" s="243" t="str">
        <f>Orthopaedics!D11</f>
        <v>Achieve budgeted  wRVUs - UNMH</v>
      </c>
      <c r="E10" s="244">
        <f>'Growth Metric by Entity_Dept'!S54</f>
        <v>286331.01999999996</v>
      </c>
      <c r="F10" s="3" t="s">
        <v>513</v>
      </c>
    </row>
    <row r="11" spans="1:6" ht="15.6" customHeight="1" thickBot="1" x14ac:dyDescent="0.25">
      <c r="A11" s="844"/>
      <c r="B11" s="164"/>
      <c r="C11" s="886"/>
      <c r="D11" s="264" t="str">
        <f>Orthopaedics!D12</f>
        <v>Achieve budgeted wRVUs - SRMC</v>
      </c>
      <c r="E11" s="245">
        <f>'Growth Metric by Entity_Dept'!S55</f>
        <v>22049.1</v>
      </c>
      <c r="F11" s="3" t="s">
        <v>513</v>
      </c>
    </row>
    <row r="12" spans="1:6" ht="15.6" customHeight="1" x14ac:dyDescent="0.2">
      <c r="A12" s="840" t="s">
        <v>7</v>
      </c>
      <c r="B12" s="115"/>
      <c r="C12" s="179" t="s">
        <v>330</v>
      </c>
      <c r="D12" s="242" t="s">
        <v>335</v>
      </c>
      <c r="E12" s="291">
        <f>'Qual_Saf Metric by Entity_Dept'!C28</f>
        <v>0.86860000000000004</v>
      </c>
    </row>
    <row r="13" spans="1:6" ht="15.6" customHeight="1" x14ac:dyDescent="0.2">
      <c r="A13" s="841"/>
      <c r="B13" s="115"/>
      <c r="C13" s="884" t="s">
        <v>372</v>
      </c>
      <c r="D13" s="246" t="s">
        <v>337</v>
      </c>
      <c r="E13" s="247">
        <v>3</v>
      </c>
    </row>
    <row r="14" spans="1:6" ht="15.6" customHeight="1" x14ac:dyDescent="0.2">
      <c r="A14" s="841"/>
      <c r="B14" s="115"/>
      <c r="C14" s="884"/>
      <c r="D14" s="145" t="s">
        <v>338</v>
      </c>
      <c r="E14" s="247">
        <v>8</v>
      </c>
    </row>
    <row r="15" spans="1:6" ht="15.6" customHeight="1" x14ac:dyDescent="0.2">
      <c r="A15" s="841"/>
      <c r="B15" s="115"/>
      <c r="C15" s="884"/>
      <c r="D15" s="145" t="s">
        <v>339</v>
      </c>
      <c r="E15" s="247">
        <v>17</v>
      </c>
    </row>
    <row r="16" spans="1:6" ht="15.6" customHeight="1" x14ac:dyDescent="0.2">
      <c r="A16" s="841"/>
      <c r="B16" s="115"/>
      <c r="C16" s="884"/>
      <c r="D16" s="145" t="s">
        <v>320</v>
      </c>
      <c r="E16" s="247">
        <v>5</v>
      </c>
    </row>
    <row r="17" spans="1:6" ht="15.6" customHeight="1" x14ac:dyDescent="0.2">
      <c r="A17" s="841"/>
      <c r="B17" s="115"/>
      <c r="C17" s="884" t="s">
        <v>373</v>
      </c>
      <c r="D17" s="145" t="s">
        <v>374</v>
      </c>
      <c r="E17" s="247">
        <v>0</v>
      </c>
    </row>
    <row r="18" spans="1:6" ht="15.6" customHeight="1" x14ac:dyDescent="0.2">
      <c r="A18" s="841"/>
      <c r="B18" s="115"/>
      <c r="C18" s="884"/>
      <c r="D18" s="145" t="s">
        <v>375</v>
      </c>
      <c r="E18" s="247">
        <v>7</v>
      </c>
    </row>
    <row r="19" spans="1:6" ht="15.6" customHeight="1" x14ac:dyDescent="0.2">
      <c r="A19" s="841"/>
      <c r="B19" s="115"/>
      <c r="C19" s="884"/>
      <c r="D19" s="145" t="s">
        <v>376</v>
      </c>
      <c r="E19" s="247">
        <v>2</v>
      </c>
    </row>
    <row r="20" spans="1:6" ht="15.6" customHeight="1" x14ac:dyDescent="0.2">
      <c r="A20" s="841"/>
      <c r="B20" s="115"/>
      <c r="C20" s="884"/>
      <c r="D20" s="145" t="s">
        <v>347</v>
      </c>
      <c r="E20" s="247">
        <v>7</v>
      </c>
    </row>
    <row r="21" spans="1:6" ht="15.6" customHeight="1" x14ac:dyDescent="0.2">
      <c r="A21" s="841"/>
      <c r="B21" s="115"/>
      <c r="C21" s="884"/>
      <c r="D21" s="145" t="s">
        <v>377</v>
      </c>
      <c r="E21" s="247">
        <v>6</v>
      </c>
    </row>
    <row r="22" spans="1:6" ht="15.6" customHeight="1" thickBot="1" x14ac:dyDescent="0.25">
      <c r="A22" s="844"/>
      <c r="B22" s="147"/>
      <c r="C22" s="240" t="s">
        <v>357</v>
      </c>
      <c r="D22" s="177" t="s">
        <v>348</v>
      </c>
      <c r="E22" s="292">
        <f>'Qual_Saf Metric by Entity_Dept'!O28</f>
        <v>8.43</v>
      </c>
    </row>
    <row r="23" spans="1:6" ht="15.6" customHeight="1" thickBot="1" x14ac:dyDescent="0.25">
      <c r="A23" s="840" t="s">
        <v>2</v>
      </c>
      <c r="B23" s="120"/>
      <c r="C23" s="248" t="s">
        <v>8</v>
      </c>
      <c r="D23" s="182" t="s">
        <v>1315</v>
      </c>
      <c r="E23" s="180" t="str">
        <f>'Service Metric by Entity_Dept'!C34 &amp; "%tile"</f>
        <v>57%tile</v>
      </c>
      <c r="F23" s="3" t="s">
        <v>513</v>
      </c>
    </row>
    <row r="24" spans="1:6" ht="15.6" customHeight="1" thickBot="1" x14ac:dyDescent="0.3">
      <c r="A24" s="844"/>
      <c r="B24" s="164"/>
      <c r="C24" s="185" t="s">
        <v>9</v>
      </c>
      <c r="D24" s="212" t="s">
        <v>1349</v>
      </c>
      <c r="E24" s="250" t="str">
        <f>'Service Metric by Entity_Dept'!G34 &amp; "%tile"</f>
        <v>32%tile</v>
      </c>
      <c r="F24" s="3" t="s">
        <v>513</v>
      </c>
    </row>
    <row r="25" spans="1:6" ht="25.5" x14ac:dyDescent="0.25">
      <c r="A25" s="840" t="s">
        <v>3</v>
      </c>
      <c r="B25" s="120"/>
      <c r="C25" s="768" t="s">
        <v>360</v>
      </c>
      <c r="D25" s="6" t="s">
        <v>1277</v>
      </c>
      <c r="E25" s="143">
        <v>0.51</v>
      </c>
      <c r="F25" s="3" t="s">
        <v>513</v>
      </c>
    </row>
    <row r="26" spans="1:6" ht="15" x14ac:dyDescent="0.25">
      <c r="A26" s="841"/>
      <c r="B26" s="120"/>
      <c r="C26" s="874" t="s">
        <v>323</v>
      </c>
      <c r="D26" s="6" t="s">
        <v>1280</v>
      </c>
      <c r="E26" s="143">
        <v>0.9</v>
      </c>
      <c r="F26" s="3" t="s">
        <v>513</v>
      </c>
    </row>
    <row r="27" spans="1:6" ht="15.6" customHeight="1" thickBot="1" x14ac:dyDescent="0.3">
      <c r="A27" s="844"/>
      <c r="B27" s="120"/>
      <c r="C27" s="875"/>
      <c r="D27" s="6" t="s">
        <v>1279</v>
      </c>
      <c r="E27" s="143">
        <v>0.9</v>
      </c>
      <c r="F27" s="3" t="s">
        <v>513</v>
      </c>
    </row>
    <row r="28" spans="1:6" ht="15.6" customHeight="1" thickBot="1" x14ac:dyDescent="0.25">
      <c r="A28" s="127" t="s">
        <v>4</v>
      </c>
      <c r="B28" s="198"/>
      <c r="C28" s="372" t="s">
        <v>1</v>
      </c>
      <c r="D28" s="400" t="s">
        <v>325</v>
      </c>
      <c r="E28" s="401">
        <f>'Finance Metric by Entity_Dept'!R24</f>
        <v>0</v>
      </c>
    </row>
  </sheetData>
  <mergeCells count="11">
    <mergeCell ref="A4:A11"/>
    <mergeCell ref="C4:C5"/>
    <mergeCell ref="C6:C7"/>
    <mergeCell ref="C8:C9"/>
    <mergeCell ref="C10:C11"/>
    <mergeCell ref="A25:A27"/>
    <mergeCell ref="C26:C27"/>
    <mergeCell ref="A23:A24"/>
    <mergeCell ref="A12:A22"/>
    <mergeCell ref="C13:C16"/>
    <mergeCell ref="C17:C21"/>
  </mergeCells>
  <pageMargins left="0.7" right="0.7" top="0.75" bottom="0.75" header="0.3" footer="0.3"/>
  <pageSetup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9"/>
  <sheetViews>
    <sheetView topLeftCell="A4" workbookViewId="0">
      <selection activeCell="E18" sqref="E18"/>
    </sheetView>
  </sheetViews>
  <sheetFormatPr defaultColWidth="8.7109375" defaultRowHeight="12.75" x14ac:dyDescent="0.2"/>
  <cols>
    <col min="1" max="1" width="20.5703125" style="2" customWidth="1"/>
    <col min="2" max="2" width="20.5703125" style="2" hidden="1" customWidth="1"/>
    <col min="3" max="3" width="39.140625" style="2" customWidth="1"/>
    <col min="4" max="4" width="56.28515625" style="2" customWidth="1"/>
    <col min="5" max="5" width="27.5703125" style="2" customWidth="1"/>
    <col min="6" max="16384" width="8.7109375" style="2"/>
  </cols>
  <sheetData>
    <row r="1" spans="1:6" ht="18" x14ac:dyDescent="0.25">
      <c r="A1" s="135" t="s">
        <v>1312</v>
      </c>
      <c r="B1" s="135"/>
      <c r="E1" s="10"/>
    </row>
    <row r="2" spans="1:6" ht="13.5" thickBot="1" x14ac:dyDescent="0.25"/>
    <row r="3" spans="1:6" ht="15.75" thickBot="1" x14ac:dyDescent="0.3">
      <c r="A3" s="136" t="s">
        <v>0</v>
      </c>
      <c r="B3" s="137" t="s">
        <v>314</v>
      </c>
      <c r="C3" s="138" t="s">
        <v>5</v>
      </c>
      <c r="D3" s="138" t="s">
        <v>561</v>
      </c>
      <c r="E3" s="112" t="s">
        <v>316</v>
      </c>
    </row>
    <row r="4" spans="1:6" ht="25.5" x14ac:dyDescent="0.2">
      <c r="A4" s="840" t="s">
        <v>10</v>
      </c>
      <c r="B4" s="124"/>
      <c r="C4" s="888" t="s">
        <v>11</v>
      </c>
      <c r="D4" s="390" t="s">
        <v>535</v>
      </c>
      <c r="E4" s="219">
        <f>'Growth Metric by Entity_Dept'!C56</f>
        <v>79018.999599999996</v>
      </c>
      <c r="F4" s="3" t="s">
        <v>513</v>
      </c>
    </row>
    <row r="5" spans="1:6" ht="15.6" customHeight="1" x14ac:dyDescent="0.2">
      <c r="A5" s="841"/>
      <c r="B5" s="120"/>
      <c r="C5" s="883"/>
      <c r="D5" s="251" t="s">
        <v>378</v>
      </c>
      <c r="E5" s="219">
        <v>8789</v>
      </c>
    </row>
    <row r="6" spans="1:6" ht="15.6" customHeight="1" x14ac:dyDescent="0.2">
      <c r="A6" s="841"/>
      <c r="B6" s="120"/>
      <c r="C6" s="883"/>
      <c r="D6" s="251" t="s">
        <v>379</v>
      </c>
      <c r="E6" s="219">
        <v>67672</v>
      </c>
    </row>
    <row r="7" spans="1:6" ht="15.6" customHeight="1" x14ac:dyDescent="0.2">
      <c r="A7" s="841"/>
      <c r="B7" s="120"/>
      <c r="C7" s="884" t="s">
        <v>317</v>
      </c>
      <c r="D7" s="241" t="s">
        <v>334</v>
      </c>
      <c r="E7" s="219">
        <f>'Growth Metric by Entity_Dept'!K56</f>
        <v>197</v>
      </c>
    </row>
    <row r="8" spans="1:6" ht="15" x14ac:dyDescent="0.2">
      <c r="A8" s="841"/>
      <c r="B8" s="120"/>
      <c r="C8" s="884"/>
      <c r="D8" s="175" t="str">
        <f>Surgery!D7</f>
        <v xml:space="preserve">Increase CMI by 4% </v>
      </c>
      <c r="E8" s="290">
        <f>'Growth Metric by Entity_Dept'!G56</f>
        <v>1.9344000000000001</v>
      </c>
    </row>
    <row r="9" spans="1:6" ht="15.6" customHeight="1" thickBot="1" x14ac:dyDescent="0.25">
      <c r="A9" s="841"/>
      <c r="B9" s="120"/>
      <c r="C9" s="252" t="s">
        <v>15</v>
      </c>
      <c r="D9" s="253" t="s">
        <v>396</v>
      </c>
      <c r="E9" s="245">
        <f>'Growth Metric by Entity_Dept'!S56</f>
        <v>163952</v>
      </c>
      <c r="F9" s="3" t="s">
        <v>513</v>
      </c>
    </row>
    <row r="10" spans="1:6" ht="15.6" customHeight="1" x14ac:dyDescent="0.2">
      <c r="A10" s="840" t="s">
        <v>7</v>
      </c>
      <c r="B10" s="115"/>
      <c r="C10" s="179" t="s">
        <v>330</v>
      </c>
      <c r="D10" s="242" t="s">
        <v>483</v>
      </c>
      <c r="E10" s="291">
        <f>'Qual_Saf Metric by Entity_Dept'!C29</f>
        <v>0.65650000000000008</v>
      </c>
    </row>
    <row r="11" spans="1:6" ht="15.6" customHeight="1" x14ac:dyDescent="0.25">
      <c r="A11" s="841"/>
      <c r="B11" s="115"/>
      <c r="C11" s="884" t="s">
        <v>373</v>
      </c>
      <c r="D11" s="167" t="s">
        <v>344</v>
      </c>
      <c r="E11" s="247">
        <v>0</v>
      </c>
    </row>
    <row r="12" spans="1:6" ht="15.6" customHeight="1" x14ac:dyDescent="0.25">
      <c r="A12" s="841"/>
      <c r="B12" s="115"/>
      <c r="C12" s="884"/>
      <c r="D12" s="125" t="s">
        <v>338</v>
      </c>
      <c r="E12" s="247">
        <v>1</v>
      </c>
    </row>
    <row r="13" spans="1:6" ht="15.6" customHeight="1" thickBot="1" x14ac:dyDescent="0.3">
      <c r="A13" s="841"/>
      <c r="B13" s="115"/>
      <c r="C13" s="896"/>
      <c r="D13" s="123" t="s">
        <v>339</v>
      </c>
      <c r="E13" s="402">
        <v>6</v>
      </c>
      <c r="F13" s="3" t="s">
        <v>513</v>
      </c>
    </row>
    <row r="14" spans="1:6" ht="15.6" customHeight="1" thickBot="1" x14ac:dyDescent="0.25">
      <c r="A14" s="746"/>
      <c r="B14" s="164"/>
      <c r="C14" s="185" t="s">
        <v>9</v>
      </c>
      <c r="D14" s="249" t="s">
        <v>397</v>
      </c>
      <c r="E14" s="250">
        <f>'Service Metric by Entity_Dept'!G35</f>
        <v>93</v>
      </c>
      <c r="F14" s="3" t="s">
        <v>513</v>
      </c>
    </row>
    <row r="15" spans="1:6" ht="25.5" x14ac:dyDescent="0.25">
      <c r="A15" s="840" t="s">
        <v>3</v>
      </c>
      <c r="B15" s="120"/>
      <c r="C15" s="768" t="s">
        <v>360</v>
      </c>
      <c r="D15" s="6" t="s">
        <v>1277</v>
      </c>
      <c r="E15" s="143">
        <v>0.51</v>
      </c>
      <c r="F15" s="3" t="s">
        <v>513</v>
      </c>
    </row>
    <row r="16" spans="1:6" ht="15.6" customHeight="1" x14ac:dyDescent="0.25">
      <c r="A16" s="841"/>
      <c r="B16" s="120"/>
      <c r="C16" s="874" t="s">
        <v>323</v>
      </c>
      <c r="D16" s="6" t="s">
        <v>1280</v>
      </c>
      <c r="E16" s="143">
        <v>0.9</v>
      </c>
      <c r="F16" s="3" t="s">
        <v>513</v>
      </c>
    </row>
    <row r="17" spans="1:6" ht="15.75" thickBot="1" x14ac:dyDescent="0.3">
      <c r="A17" s="844"/>
      <c r="B17" s="120"/>
      <c r="C17" s="875"/>
      <c r="D17" s="6" t="s">
        <v>1279</v>
      </c>
      <c r="E17" s="143">
        <v>0.9</v>
      </c>
      <c r="F17" s="3" t="s">
        <v>513</v>
      </c>
    </row>
    <row r="18" spans="1:6" ht="15" x14ac:dyDescent="0.2">
      <c r="A18" s="840" t="s">
        <v>4</v>
      </c>
      <c r="B18" s="113"/>
      <c r="C18" s="897" t="s">
        <v>1</v>
      </c>
      <c r="D18" s="393" t="s">
        <v>1313</v>
      </c>
      <c r="E18" s="779">
        <v>105654493</v>
      </c>
    </row>
    <row r="19" spans="1:6" ht="15.6" customHeight="1" thickBot="1" x14ac:dyDescent="0.25">
      <c r="A19" s="844"/>
      <c r="B19" s="147"/>
      <c r="C19" s="898"/>
      <c r="D19" s="391" t="s">
        <v>325</v>
      </c>
      <c r="E19" s="392">
        <f>'Finance Metric by Entity_Dept'!R25*1000</f>
        <v>0</v>
      </c>
    </row>
  </sheetData>
  <mergeCells count="9">
    <mergeCell ref="A18:A19"/>
    <mergeCell ref="A4:A9"/>
    <mergeCell ref="C4:C6"/>
    <mergeCell ref="C7:C8"/>
    <mergeCell ref="A10:A13"/>
    <mergeCell ref="A15:A17"/>
    <mergeCell ref="C11:C13"/>
    <mergeCell ref="C18:C19"/>
    <mergeCell ref="C16:C17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5:BG166"/>
  <sheetViews>
    <sheetView view="pageBreakPreview" topLeftCell="B1" zoomScale="60" zoomScaleNormal="90" workbookViewId="0">
      <pane xSplit="2" ySplit="7" topLeftCell="D92" activePane="bottomRight" state="frozen"/>
      <selection activeCell="G40" sqref="G40"/>
      <selection pane="topRight" activeCell="G40" sqref="G40"/>
      <selection pane="bottomLeft" activeCell="G40" sqref="G40"/>
      <selection pane="bottomRight" activeCell="H103" sqref="H103"/>
    </sheetView>
  </sheetViews>
  <sheetFormatPr defaultColWidth="8.7109375" defaultRowHeight="12.75" x14ac:dyDescent="0.2"/>
  <cols>
    <col min="1" max="1" width="4.140625" style="2" hidden="1" customWidth="1"/>
    <col min="2" max="2" width="14.7109375" style="2" customWidth="1"/>
    <col min="3" max="3" width="27.28515625" style="2" bestFit="1" customWidth="1"/>
    <col min="4" max="4" width="7.5703125" style="332" customWidth="1"/>
    <col min="5" max="5" width="75.42578125" style="2" bestFit="1" customWidth="1"/>
    <col min="6" max="6" width="8.85546875" style="332" bestFit="1" customWidth="1"/>
    <col min="7" max="7" width="95.5703125" style="2" customWidth="1"/>
    <col min="8" max="8" width="13.85546875" style="332" bestFit="1" customWidth="1"/>
    <col min="9" max="9" width="14" style="332" bestFit="1" customWidth="1"/>
    <col min="10" max="59" width="8.7109375" style="9"/>
    <col min="60" max="16384" width="8.7109375" style="2"/>
  </cols>
  <sheetData>
    <row r="5" spans="1:9" ht="21" x14ac:dyDescent="0.35">
      <c r="A5" s="5"/>
      <c r="B5" s="303" t="s">
        <v>513</v>
      </c>
      <c r="C5" s="304"/>
      <c r="D5" s="305"/>
      <c r="E5" s="305"/>
      <c r="F5" s="305"/>
      <c r="G5" s="305"/>
      <c r="H5" s="305"/>
      <c r="I5" s="305"/>
    </row>
    <row r="6" spans="1:9" ht="21" x14ac:dyDescent="0.35">
      <c r="A6" s="5"/>
      <c r="B6" s="303" t="s">
        <v>560</v>
      </c>
      <c r="C6" s="304"/>
      <c r="D6" s="305"/>
      <c r="E6" s="305"/>
      <c r="F6" s="305"/>
      <c r="G6" s="305"/>
      <c r="H6" s="305"/>
      <c r="I6" s="305"/>
    </row>
    <row r="7" spans="1:9" ht="30" x14ac:dyDescent="0.25">
      <c r="A7" s="306" t="s">
        <v>490</v>
      </c>
      <c r="B7" s="307" t="s">
        <v>0</v>
      </c>
      <c r="C7" s="307" t="s">
        <v>34</v>
      </c>
      <c r="D7" s="337" t="s">
        <v>500</v>
      </c>
      <c r="E7" s="307" t="s">
        <v>5</v>
      </c>
      <c r="F7" s="308" t="s">
        <v>501</v>
      </c>
      <c r="G7" s="307" t="s">
        <v>611</v>
      </c>
      <c r="H7" s="403" t="s">
        <v>548</v>
      </c>
      <c r="I7" s="308" t="s">
        <v>610</v>
      </c>
    </row>
    <row r="8" spans="1:9" s="326" customFormat="1" ht="15" x14ac:dyDescent="0.25">
      <c r="A8" s="310">
        <v>1</v>
      </c>
      <c r="B8" s="309" t="s">
        <v>10</v>
      </c>
      <c r="C8" s="309" t="s">
        <v>492</v>
      </c>
      <c r="D8" s="309">
        <v>1</v>
      </c>
      <c r="E8" s="314" t="s">
        <v>493</v>
      </c>
      <c r="F8" s="333">
        <v>1.1000000000000001</v>
      </c>
      <c r="G8" s="310" t="str">
        <f>'FY 20 UNMHS Presentation'!D8:D12</f>
        <v xml:space="preserve">Achieve Budgeted Clinic Visits </v>
      </c>
      <c r="H8" s="331"/>
      <c r="I8" s="334">
        <f>'Growth Metric by Entity_Dept'!C4</f>
        <v>914589.99679999985</v>
      </c>
    </row>
    <row r="9" spans="1:9" s="208" customFormat="1" ht="15" x14ac:dyDescent="0.25">
      <c r="A9" s="312">
        <v>1</v>
      </c>
      <c r="B9" s="313" t="s">
        <v>10</v>
      </c>
      <c r="C9" s="313" t="s">
        <v>44</v>
      </c>
      <c r="D9" s="313">
        <f t="shared" ref="D9:D27" si="0">D8</f>
        <v>1</v>
      </c>
      <c r="E9" s="311" t="s">
        <v>493</v>
      </c>
      <c r="F9" s="313">
        <f>F8</f>
        <v>1.1000000000000001</v>
      </c>
      <c r="G9" s="313" t="str">
        <f>G8</f>
        <v xml:space="preserve">Achieve Budgeted Clinic Visits </v>
      </c>
      <c r="H9" s="407">
        <f>'Growth Metric by Entity_Dept'!B13-H43</f>
        <v>21186.2</v>
      </c>
      <c r="I9" s="327">
        <f>'Growth Metric by Entity_Dept'!C13-I43</f>
        <v>21703</v>
      </c>
    </row>
    <row r="10" spans="1:9" s="208" customFormat="1" ht="15" x14ac:dyDescent="0.25">
      <c r="A10" s="312">
        <v>1</v>
      </c>
      <c r="B10" s="313" t="s">
        <v>296</v>
      </c>
      <c r="C10" s="313" t="s">
        <v>45</v>
      </c>
      <c r="D10" s="313">
        <f t="shared" si="0"/>
        <v>1</v>
      </c>
      <c r="E10" s="311" t="s">
        <v>493</v>
      </c>
      <c r="F10" s="313">
        <f>F9</f>
        <v>1.1000000000000001</v>
      </c>
      <c r="G10" s="313" t="str">
        <f>G9</f>
        <v xml:space="preserve">Achieve Budgeted Clinic Visits </v>
      </c>
      <c r="H10" s="411">
        <f>'Growth Metric by Entity_Dept'!B14</f>
        <v>16802</v>
      </c>
      <c r="I10" s="327">
        <f>'Growth Metric by Entity_Dept'!C14</f>
        <v>16802</v>
      </c>
    </row>
    <row r="11" spans="1:9" s="208" customFormat="1" ht="15" x14ac:dyDescent="0.25">
      <c r="A11" s="312"/>
      <c r="B11" s="313" t="s">
        <v>296</v>
      </c>
      <c r="C11" s="313" t="s">
        <v>49</v>
      </c>
      <c r="D11" s="313">
        <v>1</v>
      </c>
      <c r="E11" s="311" t="s">
        <v>493</v>
      </c>
      <c r="F11" s="313">
        <v>1.1000000000000001</v>
      </c>
      <c r="G11" s="313" t="s">
        <v>380</v>
      </c>
      <c r="H11" s="411">
        <f>'Growth Metric by Entity_Dept'!B26</f>
        <v>13127</v>
      </c>
      <c r="I11" s="411">
        <f>'Growth Metric by Entity_Dept'!C26</f>
        <v>15222</v>
      </c>
    </row>
    <row r="12" spans="1:9" s="208" customFormat="1" ht="15" x14ac:dyDescent="0.25">
      <c r="A12" s="312"/>
      <c r="B12" s="328" t="s">
        <v>296</v>
      </c>
      <c r="C12" s="313" t="s">
        <v>549</v>
      </c>
      <c r="D12" s="313">
        <v>1</v>
      </c>
      <c r="E12" s="311" t="s">
        <v>493</v>
      </c>
      <c r="F12" s="313">
        <v>1.1000000000000001</v>
      </c>
      <c r="G12" s="313" t="str">
        <f>'Familty &amp; Comm Medicine'!D4</f>
        <v>Achieve budgeted clinic visits at UNMH</v>
      </c>
      <c r="H12" s="404">
        <f>'Growth Metric by Entity_Dept'!B19</f>
        <v>123062</v>
      </c>
      <c r="I12" s="327">
        <f>'Growth Metric by Entity_Dept'!C19</f>
        <v>129779.9996</v>
      </c>
    </row>
    <row r="13" spans="1:9" s="208" customFormat="1" ht="15" x14ac:dyDescent="0.25">
      <c r="A13" s="312"/>
      <c r="B13" s="328" t="s">
        <v>296</v>
      </c>
      <c r="C13" s="313" t="s">
        <v>549</v>
      </c>
      <c r="D13" s="313">
        <v>1</v>
      </c>
      <c r="E13" s="311" t="s">
        <v>493</v>
      </c>
      <c r="F13" s="313">
        <f t="shared" ref="F13:F27" si="1">F12</f>
        <v>1.1000000000000001</v>
      </c>
      <c r="G13" s="313" t="str">
        <f>'Familty &amp; Comm Medicine'!D5</f>
        <v>Achieve budgetd clinic visits at SRMC</v>
      </c>
      <c r="H13" s="404">
        <f>'Growth Metric by Entity_Dept'!B21</f>
        <v>14136</v>
      </c>
      <c r="I13" s="327">
        <f>'Growth Metric by Entity_Dept'!C21</f>
        <v>16961</v>
      </c>
    </row>
    <row r="14" spans="1:9" s="208" customFormat="1" ht="15" x14ac:dyDescent="0.25">
      <c r="A14" s="312"/>
      <c r="B14" s="328" t="s">
        <v>296</v>
      </c>
      <c r="C14" s="313" t="s">
        <v>57</v>
      </c>
      <c r="D14" s="313">
        <v>1</v>
      </c>
      <c r="E14" s="311" t="s">
        <v>493</v>
      </c>
      <c r="F14" s="313">
        <v>1.1000000000000001</v>
      </c>
      <c r="G14" s="313" t="s">
        <v>388</v>
      </c>
      <c r="H14" s="404">
        <f>'Growth Metric by Entity_Dept'!B54</f>
        <v>63043</v>
      </c>
      <c r="I14" s="404">
        <f>'Growth Metric by Entity_Dept'!C54</f>
        <v>67115.998799999987</v>
      </c>
    </row>
    <row r="15" spans="1:9" s="208" customFormat="1" ht="15" x14ac:dyDescent="0.25">
      <c r="A15" s="312"/>
      <c r="B15" s="328" t="s">
        <v>296</v>
      </c>
      <c r="C15" s="313" t="s">
        <v>57</v>
      </c>
      <c r="D15" s="313">
        <v>1</v>
      </c>
      <c r="E15" s="311" t="s">
        <v>493</v>
      </c>
      <c r="F15" s="313">
        <v>1.1000000000000001</v>
      </c>
      <c r="G15" s="313" t="s">
        <v>1301</v>
      </c>
      <c r="H15" s="404">
        <f>'Growth Metric by Entity_Dept'!B55</f>
        <v>7998</v>
      </c>
      <c r="I15" s="404">
        <f>'Growth Metric by Entity_Dept'!C55</f>
        <v>8782</v>
      </c>
    </row>
    <row r="16" spans="1:9" s="208" customFormat="1" ht="15" x14ac:dyDescent="0.25">
      <c r="A16" s="312"/>
      <c r="B16" s="328" t="s">
        <v>296</v>
      </c>
      <c r="C16" s="313" t="s">
        <v>50</v>
      </c>
      <c r="D16" s="313">
        <v>1</v>
      </c>
      <c r="E16" s="311" t="s">
        <v>493</v>
      </c>
      <c r="F16" s="313">
        <v>1.1000000000000001</v>
      </c>
      <c r="G16" s="313" t="s">
        <v>388</v>
      </c>
      <c r="H16" s="404">
        <f>'Growth Metric by Entity_Dept'!B28</f>
        <v>19922</v>
      </c>
      <c r="I16" s="404">
        <f>'Growth Metric by Entity_Dept'!C28</f>
        <v>16400</v>
      </c>
    </row>
    <row r="17" spans="1:9" s="208" customFormat="1" ht="15" x14ac:dyDescent="0.25">
      <c r="A17" s="312"/>
      <c r="B17" s="328" t="s">
        <v>296</v>
      </c>
      <c r="C17" s="313" t="s">
        <v>50</v>
      </c>
      <c r="D17" s="313">
        <v>1</v>
      </c>
      <c r="E17" s="311" t="s">
        <v>493</v>
      </c>
      <c r="F17" s="313">
        <v>1.1000000000000001</v>
      </c>
      <c r="G17" s="313" t="s">
        <v>1301</v>
      </c>
      <c r="H17" s="404">
        <f>'Growth Metric by Entity_Dept'!B29</f>
        <v>1756</v>
      </c>
      <c r="I17" s="404">
        <f>'Growth Metric by Entity_Dept'!C29</f>
        <v>1218</v>
      </c>
    </row>
    <row r="18" spans="1:9" s="208" customFormat="1" ht="15" x14ac:dyDescent="0.25">
      <c r="A18" s="312"/>
      <c r="B18" s="328" t="s">
        <v>296</v>
      </c>
      <c r="C18" s="313" t="s">
        <v>52</v>
      </c>
      <c r="D18" s="313">
        <v>1</v>
      </c>
      <c r="E18" s="311" t="s">
        <v>493</v>
      </c>
      <c r="F18" s="313">
        <v>1.1000000000000001</v>
      </c>
      <c r="G18" s="313" t="s">
        <v>388</v>
      </c>
      <c r="H18" s="404">
        <f>'Growth Metric by Entity_Dept'!B36</f>
        <v>58302.5</v>
      </c>
      <c r="I18" s="404">
        <f>'Growth Metric by Entity_Dept'!C36</f>
        <v>59098.5</v>
      </c>
    </row>
    <row r="19" spans="1:9" s="208" customFormat="1" ht="15" x14ac:dyDescent="0.25">
      <c r="A19" s="312"/>
      <c r="B19" s="328" t="s">
        <v>296</v>
      </c>
      <c r="C19" s="313" t="s">
        <v>52</v>
      </c>
      <c r="D19" s="313">
        <v>1</v>
      </c>
      <c r="E19" s="311" t="s">
        <v>493</v>
      </c>
      <c r="F19" s="313">
        <v>1.1000000000000001</v>
      </c>
      <c r="G19" s="313" t="s">
        <v>1301</v>
      </c>
      <c r="H19" s="404">
        <f>'Growth Metric by Entity_Dept'!B37</f>
        <v>8106</v>
      </c>
      <c r="I19" s="404">
        <f>'Growth Metric by Entity_Dept'!C37</f>
        <v>8052</v>
      </c>
    </row>
    <row r="20" spans="1:9" s="208" customFormat="1" ht="15" x14ac:dyDescent="0.25">
      <c r="A20" s="312"/>
      <c r="B20" s="328" t="s">
        <v>296</v>
      </c>
      <c r="C20" s="313" t="s">
        <v>52</v>
      </c>
      <c r="D20" s="313">
        <v>1</v>
      </c>
      <c r="E20" s="311" t="s">
        <v>493</v>
      </c>
      <c r="F20" s="313">
        <v>1.1000000000000001</v>
      </c>
      <c r="G20" s="313" t="s">
        <v>1304</v>
      </c>
      <c r="H20" s="404">
        <f>'Growth Metric by Entity_Dept'!B38</f>
        <v>1463</v>
      </c>
      <c r="I20" s="404">
        <f>'Growth Metric by Entity_Dept'!C38</f>
        <v>2139</v>
      </c>
    </row>
    <row r="21" spans="1:9" s="208" customFormat="1" ht="15" x14ac:dyDescent="0.25">
      <c r="A21" s="312"/>
      <c r="B21" s="328" t="s">
        <v>296</v>
      </c>
      <c r="C21" s="313" t="s">
        <v>410</v>
      </c>
      <c r="D21" s="313">
        <f>D13</f>
        <v>1</v>
      </c>
      <c r="E21" s="311" t="s">
        <v>493</v>
      </c>
      <c r="F21" s="313">
        <f>F13</f>
        <v>1.1000000000000001</v>
      </c>
      <c r="G21" s="313" t="str">
        <f>Ob_Gyn!D4</f>
        <v>Achieve budgeted clinic visits at UNMH</v>
      </c>
      <c r="H21" s="404">
        <f>'Growth Metric by Entity_Dept'!B32</f>
        <v>59751</v>
      </c>
      <c r="I21" s="327">
        <f>'Growth Metric by Entity_Dept'!C32</f>
        <v>60338.998800000001</v>
      </c>
    </row>
    <row r="22" spans="1:9" s="208" customFormat="1" ht="15" x14ac:dyDescent="0.25">
      <c r="A22" s="312"/>
      <c r="B22" s="328" t="s">
        <v>296</v>
      </c>
      <c r="C22" s="313" t="s">
        <v>410</v>
      </c>
      <c r="D22" s="313">
        <f t="shared" si="0"/>
        <v>1</v>
      </c>
      <c r="E22" s="311" t="s">
        <v>493</v>
      </c>
      <c r="F22" s="313">
        <f t="shared" si="1"/>
        <v>1.1000000000000001</v>
      </c>
      <c r="G22" s="313" t="str">
        <f>Ob_Gyn!D5</f>
        <v>Achieve budgeted clinic visits at SRMC</v>
      </c>
      <c r="H22" s="404">
        <f>'Growth Metric by Entity_Dept'!B33</f>
        <v>3754</v>
      </c>
      <c r="I22" s="327">
        <f>'Growth Metric by Entity_Dept'!C33</f>
        <v>4900</v>
      </c>
    </row>
    <row r="23" spans="1:9" s="208" customFormat="1" ht="15" x14ac:dyDescent="0.25">
      <c r="A23" s="312"/>
      <c r="B23" s="328" t="s">
        <v>296</v>
      </c>
      <c r="C23" s="313" t="s">
        <v>410</v>
      </c>
      <c r="D23" s="313">
        <f t="shared" si="0"/>
        <v>1</v>
      </c>
      <c r="E23" s="311" t="s">
        <v>493</v>
      </c>
      <c r="F23" s="313">
        <f t="shared" si="1"/>
        <v>1.1000000000000001</v>
      </c>
      <c r="G23" s="313" t="str">
        <f>G20</f>
        <v>Achieve budgeted clinic visits at UNMMG</v>
      </c>
      <c r="H23" s="404">
        <f>'Growth Metric by Entity_Dept'!B34</f>
        <v>5140</v>
      </c>
      <c r="I23" s="327">
        <f>'Growth Metric by Entity_Dept'!C34</f>
        <v>5642</v>
      </c>
    </row>
    <row r="24" spans="1:9" s="208" customFormat="1" ht="15" x14ac:dyDescent="0.25">
      <c r="A24" s="312"/>
      <c r="B24" s="328" t="s">
        <v>296</v>
      </c>
      <c r="C24" s="313" t="s">
        <v>54</v>
      </c>
      <c r="D24" s="313">
        <f t="shared" si="0"/>
        <v>1</v>
      </c>
      <c r="E24" s="311" t="s">
        <v>493</v>
      </c>
      <c r="F24" s="313">
        <f t="shared" si="1"/>
        <v>1.1000000000000001</v>
      </c>
      <c r="G24" s="313" t="str">
        <f>Pediatrics!D4</f>
        <v>Achieve budgeted clinic visits at UNMH</v>
      </c>
      <c r="H24" s="404">
        <f>'Growth Metric by Entity_Dept'!B43</f>
        <v>70852.5</v>
      </c>
      <c r="I24" s="327">
        <f>'Growth Metric by Entity_Dept'!C43</f>
        <v>71440.500400000004</v>
      </c>
    </row>
    <row r="25" spans="1:9" s="208" customFormat="1" ht="15" x14ac:dyDescent="0.25">
      <c r="A25" s="312"/>
      <c r="B25" s="328" t="s">
        <v>296</v>
      </c>
      <c r="C25" s="313" t="s">
        <v>54</v>
      </c>
      <c r="D25" s="313">
        <f t="shared" si="0"/>
        <v>1</v>
      </c>
      <c r="E25" s="311" t="s">
        <v>493</v>
      </c>
      <c r="F25" s="313">
        <f t="shared" si="1"/>
        <v>1.1000000000000001</v>
      </c>
      <c r="G25" s="313" t="str">
        <f>G23</f>
        <v>Achieve budgeted clinic visits at UNMMG</v>
      </c>
      <c r="H25" s="404">
        <f>'Growth Metric by Entity_Dept'!B44</f>
        <v>4213</v>
      </c>
      <c r="I25" s="327">
        <f>'Growth Metric by Entity_Dept'!C44</f>
        <v>4522</v>
      </c>
    </row>
    <row r="26" spans="1:9" s="208" customFormat="1" ht="14.45" customHeight="1" x14ac:dyDescent="0.25">
      <c r="A26" s="312"/>
      <c r="B26" s="328" t="s">
        <v>296</v>
      </c>
      <c r="C26" s="313" t="s">
        <v>55</v>
      </c>
      <c r="D26" s="313">
        <f t="shared" si="0"/>
        <v>1</v>
      </c>
      <c r="E26" s="311" t="s">
        <v>493</v>
      </c>
      <c r="F26" s="313">
        <f t="shared" si="1"/>
        <v>1.1000000000000001</v>
      </c>
      <c r="G26" s="313" t="str">
        <f>Psychiatry!D4</f>
        <v>Achieve budgeted outpatient clinic visits - adults</v>
      </c>
      <c r="H26" s="327">
        <f>'Growth Metric by Entity_Dept'!B46</f>
        <v>44794</v>
      </c>
      <c r="I26" s="327">
        <f>'Growth Metric by Entity_Dept'!C46</f>
        <v>48774</v>
      </c>
    </row>
    <row r="27" spans="1:9" s="208" customFormat="1" ht="14.45" customHeight="1" x14ac:dyDescent="0.25">
      <c r="A27" s="312"/>
      <c r="B27" s="328" t="s">
        <v>296</v>
      </c>
      <c r="C27" s="313" t="s">
        <v>55</v>
      </c>
      <c r="D27" s="313">
        <f t="shared" si="0"/>
        <v>1</v>
      </c>
      <c r="E27" s="311" t="s">
        <v>493</v>
      </c>
      <c r="F27" s="313">
        <f t="shared" si="1"/>
        <v>1.1000000000000001</v>
      </c>
      <c r="G27" s="313" t="str">
        <f>Psychiatry!D5</f>
        <v>Achieve budgeted outpatient clinic visits - pediatrics</v>
      </c>
      <c r="H27" s="327">
        <f>'Growth Metric by Entity_Dept'!B47</f>
        <v>10088</v>
      </c>
      <c r="I27" s="327">
        <f>'Growth Metric by Entity_Dept'!C47</f>
        <v>11005</v>
      </c>
    </row>
    <row r="28" spans="1:9" s="208" customFormat="1" ht="15" x14ac:dyDescent="0.25">
      <c r="A28" s="312"/>
      <c r="B28" s="328" t="s">
        <v>296</v>
      </c>
      <c r="C28" s="313" t="s">
        <v>55</v>
      </c>
      <c r="D28" s="313">
        <v>1</v>
      </c>
      <c r="E28" s="311" t="s">
        <v>493</v>
      </c>
      <c r="F28" s="341">
        <v>1.1000000000000001</v>
      </c>
      <c r="G28" s="312" t="str">
        <f>Psychiatry!D6</f>
        <v>Achieve budgeted outpatient clinic visits - UNMMG</v>
      </c>
      <c r="H28" s="404">
        <f>'Growth Metric by Entity_Dept'!B49</f>
        <v>0</v>
      </c>
      <c r="I28" s="404">
        <f>'Growth Metric by Entity_Dept'!C49</f>
        <v>2170</v>
      </c>
    </row>
    <row r="29" spans="1:9" s="208" customFormat="1" ht="14.45" customHeight="1" x14ac:dyDescent="0.25">
      <c r="A29" s="312"/>
      <c r="B29" s="328" t="s">
        <v>296</v>
      </c>
      <c r="C29" s="313" t="s">
        <v>56</v>
      </c>
      <c r="D29" s="313">
        <v>1</v>
      </c>
      <c r="E29" s="311" t="s">
        <v>493</v>
      </c>
      <c r="F29" s="313">
        <v>1.1000000000000001</v>
      </c>
      <c r="G29" s="313" t="str">
        <f>Radiology!D4</f>
        <v xml:space="preserve">Decrease ad hoc order to schedule </v>
      </c>
      <c r="H29" s="327"/>
      <c r="I29" s="327" t="str">
        <f>Radiology!E4</f>
        <v>&lt;900 pending adhoc orders</v>
      </c>
    </row>
    <row r="30" spans="1:9" s="208" customFormat="1" ht="14.45" customHeight="1" x14ac:dyDescent="0.25">
      <c r="A30" s="312">
        <v>1</v>
      </c>
      <c r="B30" s="328" t="s">
        <v>296</v>
      </c>
      <c r="C30" s="328" t="s">
        <v>58</v>
      </c>
      <c r="D30" s="313">
        <v>2</v>
      </c>
      <c r="E30" s="311" t="s">
        <v>493</v>
      </c>
      <c r="F30" s="313">
        <v>2.1</v>
      </c>
      <c r="G30" s="313" t="str">
        <f>'Cancer Center'!D4</f>
        <v>Achieve budgeted volume (Techical units - excluding Infusion, AIC &amp; OP Pharmacy)</v>
      </c>
      <c r="H30" s="404">
        <f>'Growth Metric by Entity_Dept'!B56</f>
        <v>75216.5</v>
      </c>
      <c r="I30" s="404">
        <f>'Growth Metric by Entity_Dept'!C56</f>
        <v>79018.999599999996</v>
      </c>
    </row>
    <row r="31" spans="1:9" s="326" customFormat="1" ht="15" x14ac:dyDescent="0.25">
      <c r="A31" s="310">
        <v>1</v>
      </c>
      <c r="B31" s="309" t="s">
        <v>10</v>
      </c>
      <c r="C31" s="309" t="s">
        <v>492</v>
      </c>
      <c r="D31" s="309">
        <v>2</v>
      </c>
      <c r="E31" s="309" t="s">
        <v>13</v>
      </c>
      <c r="F31" s="333">
        <v>2.1</v>
      </c>
      <c r="G31" s="310" t="str">
        <f>'FY 20 UNMHS Presentation'!D13</f>
        <v xml:space="preserve">Achieve Budgeted CMI </v>
      </c>
      <c r="H31" s="331"/>
      <c r="I31" s="338">
        <f>'Growth Metric by Entity_Dept'!G4</f>
        <v>2.0168506767413712</v>
      </c>
    </row>
    <row r="32" spans="1:9" s="208" customFormat="1" ht="15" x14ac:dyDescent="0.25">
      <c r="A32" s="339"/>
      <c r="B32" s="313" t="s">
        <v>296</v>
      </c>
      <c r="C32" s="313" t="s">
        <v>56</v>
      </c>
      <c r="D32" s="313">
        <v>2</v>
      </c>
      <c r="E32" s="313" t="s">
        <v>13</v>
      </c>
      <c r="F32" s="340">
        <v>2.1</v>
      </c>
      <c r="G32" s="312" t="s">
        <v>1295</v>
      </c>
      <c r="H32" s="415"/>
      <c r="I32" s="415" t="str">
        <f>Radiology!E5</f>
        <v>70% under 4 hours</v>
      </c>
    </row>
    <row r="33" spans="1:59" s="326" customFormat="1" ht="15" x14ac:dyDescent="0.25">
      <c r="A33" s="310">
        <v>1</v>
      </c>
      <c r="B33" s="309" t="s">
        <v>10</v>
      </c>
      <c r="C33" s="309" t="s">
        <v>492</v>
      </c>
      <c r="D33" s="309">
        <v>2</v>
      </c>
      <c r="E33" s="309" t="s">
        <v>13</v>
      </c>
      <c r="F33" s="333">
        <v>2.2000000000000002</v>
      </c>
      <c r="G33" s="310" t="s">
        <v>502</v>
      </c>
      <c r="H33" s="331"/>
      <c r="I33" s="334">
        <f>'Growth Metric by Entity_Dept'!K4</f>
        <v>45843.542027653806</v>
      </c>
    </row>
    <row r="34" spans="1:59" s="208" customFormat="1" ht="14.45" customHeight="1" x14ac:dyDescent="0.25">
      <c r="A34" s="312">
        <v>1</v>
      </c>
      <c r="B34" s="313" t="s">
        <v>10</v>
      </c>
      <c r="C34" s="313" t="s">
        <v>46</v>
      </c>
      <c r="D34" s="313">
        <f>D33</f>
        <v>2</v>
      </c>
      <c r="E34" s="313" t="s">
        <v>13</v>
      </c>
      <c r="F34" s="341">
        <f>F33</f>
        <v>2.2000000000000002</v>
      </c>
      <c r="G34" s="312" t="str">
        <f>'Emergency Medicine'!D5</f>
        <v>Left without being seen (LWBS) + Against medical advice (AMA) at UNMH</v>
      </c>
      <c r="H34" s="413">
        <v>5.8999999999999997E-2</v>
      </c>
      <c r="I34" s="327" t="str">
        <f>'Emergency Medicine'!E5</f>
        <v>&lt;6%</v>
      </c>
    </row>
    <row r="35" spans="1:59" s="208" customFormat="1" ht="15" x14ac:dyDescent="0.25">
      <c r="A35" s="312"/>
      <c r="B35" s="313" t="s">
        <v>10</v>
      </c>
      <c r="C35" s="313" t="s">
        <v>46</v>
      </c>
      <c r="D35" s="313">
        <f>D34</f>
        <v>2</v>
      </c>
      <c r="E35" s="313" t="s">
        <v>13</v>
      </c>
      <c r="F35" s="341">
        <f>F34</f>
        <v>2.2000000000000002</v>
      </c>
      <c r="G35" s="312" t="str">
        <f>'Emergency Medicine'!D6</f>
        <v>Median door to doc time at SRMC (minutes)</v>
      </c>
      <c r="H35" s="329">
        <v>52</v>
      </c>
      <c r="I35" s="327">
        <f>'Emergency Medicine'!E6</f>
        <v>60</v>
      </c>
    </row>
    <row r="36" spans="1:59" s="326" customFormat="1" ht="15" x14ac:dyDescent="0.25">
      <c r="A36" s="310">
        <v>1</v>
      </c>
      <c r="B36" s="309" t="s">
        <v>10</v>
      </c>
      <c r="C36" s="309" t="s">
        <v>492</v>
      </c>
      <c r="D36" s="309">
        <v>3</v>
      </c>
      <c r="E36" s="314" t="s">
        <v>6</v>
      </c>
      <c r="F36" s="333">
        <v>3.1</v>
      </c>
      <c r="G36" s="310" t="s">
        <v>498</v>
      </c>
      <c r="H36" s="331"/>
      <c r="I36" s="334">
        <f>'Growth Metric by Entity_Dept'!O4</f>
        <v>24324</v>
      </c>
    </row>
    <row r="37" spans="1:59" s="208" customFormat="1" ht="15" x14ac:dyDescent="0.25">
      <c r="A37" s="312">
        <v>1</v>
      </c>
      <c r="B37" s="313" t="s">
        <v>10</v>
      </c>
      <c r="C37" s="313" t="s">
        <v>43</v>
      </c>
      <c r="D37" s="313">
        <f>D36</f>
        <v>3</v>
      </c>
      <c r="E37" s="311" t="s">
        <v>6</v>
      </c>
      <c r="F37" s="341">
        <f>F36</f>
        <v>3.1</v>
      </c>
      <c r="G37" s="312" t="s">
        <v>546</v>
      </c>
      <c r="H37" s="404">
        <f>'Growth Metric by Entity_Dept'!N5</f>
        <v>19905</v>
      </c>
      <c r="I37" s="404">
        <f>'Growth Metric by Entity_Dept'!O5</f>
        <v>20712</v>
      </c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0"/>
      <c r="BG37" s="420"/>
    </row>
    <row r="38" spans="1:59" s="208" customFormat="1" ht="15" x14ac:dyDescent="0.25">
      <c r="A38" s="312"/>
      <c r="B38" s="313" t="s">
        <v>10</v>
      </c>
      <c r="C38" s="313" t="s">
        <v>43</v>
      </c>
      <c r="D38" s="313">
        <f>D37</f>
        <v>3</v>
      </c>
      <c r="E38" s="311" t="s">
        <v>6</v>
      </c>
      <c r="F38" s="341">
        <f>F37</f>
        <v>3.1</v>
      </c>
      <c r="G38" s="312" t="s">
        <v>1289</v>
      </c>
      <c r="H38" s="404">
        <f>'Growth Metric by Entity_Dept'!N6</f>
        <v>3462</v>
      </c>
      <c r="I38" s="404">
        <f>'Growth Metric by Entity_Dept'!O6</f>
        <v>3612</v>
      </c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</row>
    <row r="39" spans="1:59" s="208" customFormat="1" ht="15" x14ac:dyDescent="0.25">
      <c r="A39" s="312"/>
      <c r="B39" s="313" t="s">
        <v>296</v>
      </c>
      <c r="C39" s="313" t="s">
        <v>57</v>
      </c>
      <c r="D39" s="313">
        <v>3</v>
      </c>
      <c r="E39" s="311" t="s">
        <v>6</v>
      </c>
      <c r="F39" s="341">
        <v>3.1</v>
      </c>
      <c r="G39" s="312" t="s">
        <v>546</v>
      </c>
      <c r="H39" s="404">
        <f>'Growth Metric by Entity_Dept'!N54</f>
        <v>11282.846575342464</v>
      </c>
      <c r="I39" s="404">
        <f>'Growth Metric by Entity_Dept'!O54</f>
        <v>12289</v>
      </c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420"/>
    </row>
    <row r="40" spans="1:59" s="208" customFormat="1" ht="15" x14ac:dyDescent="0.25">
      <c r="A40" s="312"/>
      <c r="B40" s="313" t="s">
        <v>296</v>
      </c>
      <c r="C40" s="313" t="s">
        <v>57</v>
      </c>
      <c r="D40" s="313">
        <v>3</v>
      </c>
      <c r="E40" s="311" t="s">
        <v>6</v>
      </c>
      <c r="F40" s="341">
        <v>3.1</v>
      </c>
      <c r="G40" s="312" t="s">
        <v>1289</v>
      </c>
      <c r="H40" s="404">
        <f>'Growth Metric by Entity_Dept'!N55</f>
        <v>1372</v>
      </c>
      <c r="I40" s="404">
        <f>'Growth Metric by Entity_Dept'!O55</f>
        <v>1478</v>
      </c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420"/>
    </row>
    <row r="41" spans="1:59" s="208" customFormat="1" ht="15" x14ac:dyDescent="0.25">
      <c r="A41" s="312"/>
      <c r="B41" s="313" t="s">
        <v>296</v>
      </c>
      <c r="C41" s="313" t="s">
        <v>52</v>
      </c>
      <c r="D41" s="313">
        <v>3</v>
      </c>
      <c r="E41" s="311" t="s">
        <v>6</v>
      </c>
      <c r="F41" s="341">
        <v>3.1</v>
      </c>
      <c r="G41" s="312" t="s">
        <v>546</v>
      </c>
      <c r="H41" s="404">
        <f>'Growth Metric by Entity_Dept'!N36</f>
        <v>5560.3205479452045</v>
      </c>
      <c r="I41" s="404">
        <f>'Growth Metric by Entity_Dept'!O36</f>
        <v>5623</v>
      </c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</row>
    <row r="42" spans="1:59" s="208" customFormat="1" ht="15" x14ac:dyDescent="0.25">
      <c r="A42" s="312"/>
      <c r="B42" s="313" t="s">
        <v>296</v>
      </c>
      <c r="C42" s="313" t="s">
        <v>52</v>
      </c>
      <c r="D42" s="313">
        <v>3</v>
      </c>
      <c r="E42" s="311" t="s">
        <v>6</v>
      </c>
      <c r="F42" s="341">
        <v>3.1</v>
      </c>
      <c r="G42" s="312" t="s">
        <v>1289</v>
      </c>
      <c r="H42" s="404">
        <f>'Growth Metric by Entity_Dept'!N37</f>
        <v>1289</v>
      </c>
      <c r="I42" s="404">
        <f>'Growth Metric by Entity_Dept'!O37</f>
        <v>1660</v>
      </c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</row>
    <row r="43" spans="1:59" s="208" customFormat="1" ht="14.45" customHeight="1" x14ac:dyDescent="0.25">
      <c r="A43" s="312"/>
      <c r="B43" s="313" t="s">
        <v>10</v>
      </c>
      <c r="C43" s="313" t="s">
        <v>44</v>
      </c>
      <c r="D43" s="313">
        <f>D37</f>
        <v>3</v>
      </c>
      <c r="E43" s="311" t="s">
        <v>6</v>
      </c>
      <c r="F43" s="341">
        <f>F37</f>
        <v>3.1</v>
      </c>
      <c r="G43" s="312" t="str">
        <f>' Dental Medicine'!D5</f>
        <v>ASC dental cases</v>
      </c>
      <c r="H43" s="404">
        <f>404/10*12</f>
        <v>484.79999999999995</v>
      </c>
      <c r="I43" s="327">
        <f>' Dental Medicine'!E5</f>
        <v>615</v>
      </c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0"/>
      <c r="BF43" s="420"/>
      <c r="BG43" s="420"/>
    </row>
    <row r="44" spans="1:59" s="208" customFormat="1" ht="15" x14ac:dyDescent="0.25">
      <c r="A44" s="312"/>
      <c r="B44" s="313" t="s">
        <v>10</v>
      </c>
      <c r="C44" s="313" t="s">
        <v>44</v>
      </c>
      <c r="D44" s="313">
        <f>D43</f>
        <v>3</v>
      </c>
      <c r="E44" s="311" t="s">
        <v>6</v>
      </c>
      <c r="F44" s="341">
        <f>F43</f>
        <v>3.1</v>
      </c>
      <c r="G44" s="312" t="str">
        <f>G37</f>
        <v>Achieve Budgeted Surgeries at UNMH</v>
      </c>
      <c r="H44" s="404">
        <f>148/10*12</f>
        <v>177.60000000000002</v>
      </c>
      <c r="I44" s="327">
        <f>' Dental Medicine'!E6</f>
        <v>196</v>
      </c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</row>
    <row r="45" spans="1:59" s="208" customFormat="1" ht="15" x14ac:dyDescent="0.25">
      <c r="A45" s="312"/>
      <c r="B45" s="313" t="s">
        <v>10</v>
      </c>
      <c r="C45" s="313" t="s">
        <v>50</v>
      </c>
      <c r="D45" s="313">
        <f>D44</f>
        <v>3</v>
      </c>
      <c r="E45" s="311" t="s">
        <v>6</v>
      </c>
      <c r="F45" s="341">
        <f>F44</f>
        <v>3.1</v>
      </c>
      <c r="G45" s="312" t="s">
        <v>546</v>
      </c>
      <c r="H45" s="404">
        <f>'Growth Metric by Entity_Dept'!N28</f>
        <v>1140.6520547945206</v>
      </c>
      <c r="I45" s="404">
        <f>'Growth Metric by Entity_Dept'!O28</f>
        <v>1094</v>
      </c>
    </row>
    <row r="46" spans="1:59" s="326" customFormat="1" ht="14.45" customHeight="1" x14ac:dyDescent="0.25">
      <c r="A46" s="310">
        <v>1</v>
      </c>
      <c r="B46" s="309" t="s">
        <v>10</v>
      </c>
      <c r="C46" s="309" t="s">
        <v>492</v>
      </c>
      <c r="D46" s="309">
        <v>4</v>
      </c>
      <c r="E46" s="314" t="s">
        <v>343</v>
      </c>
      <c r="F46" s="333">
        <v>4.0999999999999996</v>
      </c>
      <c r="G46" s="310" t="str">
        <f>'FY 20 UNMHS Presentation'!D24</f>
        <v xml:space="preserve">Achieve Budgeted wRVU's </v>
      </c>
      <c r="H46" s="331"/>
      <c r="I46" s="335">
        <f>'Growth Metric by Entity_Dept'!S4</f>
        <v>3386082.0300000003</v>
      </c>
    </row>
    <row r="47" spans="1:59" s="208" customFormat="1" ht="15" x14ac:dyDescent="0.25">
      <c r="A47" s="312"/>
      <c r="B47" s="328" t="s">
        <v>296</v>
      </c>
      <c r="C47" s="313" t="s">
        <v>44</v>
      </c>
      <c r="D47" s="313">
        <v>4</v>
      </c>
      <c r="E47" s="311" t="str">
        <f>E46</f>
        <v>Increase Total Provider Productivity</v>
      </c>
      <c r="F47" s="341">
        <f>F46</f>
        <v>4.0999999999999996</v>
      </c>
      <c r="G47" s="312" t="str">
        <f>' Dental Medicine'!D7</f>
        <v>Achieve Budgeted Faculty Procedure rvu</v>
      </c>
      <c r="H47" s="404">
        <f>14055/10*12</f>
        <v>16866</v>
      </c>
      <c r="I47" s="347">
        <f>' Dental Medicine'!E7</f>
        <v>13626</v>
      </c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</row>
    <row r="48" spans="1:59" s="208" customFormat="1" ht="15" x14ac:dyDescent="0.25">
      <c r="A48" s="312"/>
      <c r="B48" s="328" t="s">
        <v>296</v>
      </c>
      <c r="C48" s="313" t="s">
        <v>45</v>
      </c>
      <c r="D48" s="313">
        <v>4</v>
      </c>
      <c r="E48" s="311" t="str">
        <f t="shared" ref="E48:E66" si="2">E47</f>
        <v>Increase Total Provider Productivity</v>
      </c>
      <c r="F48" s="341">
        <f t="shared" ref="F48:F66" si="3">F47</f>
        <v>4.0999999999999996</v>
      </c>
      <c r="G48" s="412" t="str">
        <f>Dermatology!D5</f>
        <v>Achieve Budgeted wRVUs</v>
      </c>
      <c r="H48" s="404">
        <f>'Growth Metric by Entity_Dept'!R14</f>
        <v>19566.010000000002</v>
      </c>
      <c r="I48" s="347">
        <f>'Growth Metric by Entity_Dept'!S14</f>
        <v>22695</v>
      </c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</row>
    <row r="49" spans="1:59" s="208" customFormat="1" ht="15" x14ac:dyDescent="0.25">
      <c r="A49" s="312"/>
      <c r="B49" s="328" t="s">
        <v>296</v>
      </c>
      <c r="C49" s="313" t="s">
        <v>49</v>
      </c>
      <c r="D49" s="313">
        <v>4</v>
      </c>
      <c r="E49" s="311" t="s">
        <v>343</v>
      </c>
      <c r="F49" s="341">
        <v>4.0999999999999996</v>
      </c>
      <c r="G49" s="412" t="s">
        <v>381</v>
      </c>
      <c r="H49" s="404">
        <f>'Growth Metric by Entity_Dept'!R26</f>
        <v>72256.059999999983</v>
      </c>
      <c r="I49" s="404">
        <f>'Growth Metric by Entity_Dept'!S26</f>
        <v>85903.799999999988</v>
      </c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</row>
    <row r="50" spans="1:59" s="208" customFormat="1" ht="15" x14ac:dyDescent="0.25">
      <c r="A50" s="312"/>
      <c r="B50" s="328" t="s">
        <v>296</v>
      </c>
      <c r="C50" s="313" t="s">
        <v>46</v>
      </c>
      <c r="D50" s="313">
        <v>4</v>
      </c>
      <c r="E50" s="311" t="str">
        <f t="shared" ref="E50" si="4">E48</f>
        <v>Increase Total Provider Productivity</v>
      </c>
      <c r="F50" s="341">
        <f t="shared" ref="F50" si="5">F48</f>
        <v>4.0999999999999996</v>
      </c>
      <c r="G50" s="412" t="str">
        <f>'Emergency Medicine'!D7</f>
        <v>Achieve budgeted  wRVUs - UNMH</v>
      </c>
      <c r="H50" s="404">
        <f>'Growth Metric by Entity_Dept'!R16</f>
        <v>237390</v>
      </c>
      <c r="I50" s="347">
        <f>'Emergency Medicine'!E7</f>
        <v>237390</v>
      </c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</row>
    <row r="51" spans="1:59" s="208" customFormat="1" ht="15" x14ac:dyDescent="0.25">
      <c r="A51" s="312"/>
      <c r="B51" s="328" t="s">
        <v>296</v>
      </c>
      <c r="C51" s="313" t="s">
        <v>46</v>
      </c>
      <c r="D51" s="313">
        <v>4</v>
      </c>
      <c r="E51" s="311" t="s">
        <v>343</v>
      </c>
      <c r="F51" s="341">
        <v>4.0999999999999996</v>
      </c>
      <c r="G51" s="412" t="s">
        <v>386</v>
      </c>
      <c r="H51" s="404">
        <f>'Growth Metric by Entity_Dept'!R17</f>
        <v>53707.143333333326</v>
      </c>
      <c r="I51" s="404">
        <f>'Growth Metric by Entity_Dept'!S17</f>
        <v>54787</v>
      </c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</row>
    <row r="52" spans="1:59" s="208" customFormat="1" ht="15" x14ac:dyDescent="0.25">
      <c r="A52" s="312"/>
      <c r="B52" s="328" t="s">
        <v>296</v>
      </c>
      <c r="C52" s="313" t="s">
        <v>50</v>
      </c>
      <c r="D52" s="313">
        <v>4</v>
      </c>
      <c r="E52" s="311" t="str">
        <f>E48</f>
        <v>Increase Total Provider Productivity</v>
      </c>
      <c r="F52" s="341">
        <f>F48</f>
        <v>4.0999999999999996</v>
      </c>
      <c r="G52" s="312" t="str">
        <f>Neurosurgery!D9</f>
        <v>Achieve budgeted  wRVUs - UNMH</v>
      </c>
      <c r="H52" s="404">
        <f>'Growth Metric by Entity_Dept'!R28</f>
        <v>72190</v>
      </c>
      <c r="I52" s="347">
        <f>'Growth Metric by Entity_Dept'!S28</f>
        <v>73468</v>
      </c>
    </row>
    <row r="53" spans="1:59" s="208" customFormat="1" ht="15" x14ac:dyDescent="0.25">
      <c r="A53" s="312"/>
      <c r="B53" s="328" t="s">
        <v>296</v>
      </c>
      <c r="C53" s="313" t="s">
        <v>50</v>
      </c>
      <c r="D53" s="313">
        <v>4</v>
      </c>
      <c r="E53" s="311" t="str">
        <f t="shared" si="2"/>
        <v>Increase Total Provider Productivity</v>
      </c>
      <c r="F53" s="341">
        <f t="shared" si="3"/>
        <v>4.0999999999999996</v>
      </c>
      <c r="G53" s="312" t="str">
        <f>Neurosurgery!D10</f>
        <v>Achieve budgeted wRVUs - SRMC</v>
      </c>
      <c r="H53" s="404">
        <f>'Growth Metric by Entity_Dept'!R29</f>
        <v>6624.2583333333332</v>
      </c>
      <c r="I53" s="347">
        <f>'Growth Metric by Entity_Dept'!S29</f>
        <v>963</v>
      </c>
    </row>
    <row r="54" spans="1:59" s="208" customFormat="1" ht="15" x14ac:dyDescent="0.25">
      <c r="A54" s="312"/>
      <c r="B54" s="328" t="s">
        <v>296</v>
      </c>
      <c r="C54" s="313" t="s">
        <v>57</v>
      </c>
      <c r="D54" s="313">
        <v>4</v>
      </c>
      <c r="E54" s="311" t="s">
        <v>343</v>
      </c>
      <c r="F54" s="341">
        <v>4.0999999999999996</v>
      </c>
      <c r="G54" s="312" t="s">
        <v>1290</v>
      </c>
      <c r="H54" s="404">
        <f>'Growth Metric by Entity_Dept'!R54</f>
        <v>268910.06999999995</v>
      </c>
      <c r="I54" s="404">
        <f>'Growth Metric by Entity_Dept'!S54</f>
        <v>286331.01999999996</v>
      </c>
    </row>
    <row r="55" spans="1:59" s="208" customFormat="1" ht="15" x14ac:dyDescent="0.25">
      <c r="A55" s="312"/>
      <c r="B55" s="328" t="s">
        <v>296</v>
      </c>
      <c r="C55" s="313" t="s">
        <v>57</v>
      </c>
      <c r="D55" s="313">
        <v>4</v>
      </c>
      <c r="E55" s="311" t="s">
        <v>343</v>
      </c>
      <c r="F55" s="341">
        <v>4.0999999999999996</v>
      </c>
      <c r="G55" s="312" t="s">
        <v>386</v>
      </c>
      <c r="H55" s="404">
        <f>'Growth Metric by Entity_Dept'!R55</f>
        <v>24428.299999999992</v>
      </c>
      <c r="I55" s="404">
        <f>'Growth Metric by Entity_Dept'!S55</f>
        <v>22049.1</v>
      </c>
    </row>
    <row r="56" spans="1:59" s="208" customFormat="1" ht="15" x14ac:dyDescent="0.25">
      <c r="A56" s="312"/>
      <c r="B56" s="328" t="s">
        <v>296</v>
      </c>
      <c r="C56" s="313" t="s">
        <v>48</v>
      </c>
      <c r="D56" s="313">
        <v>4</v>
      </c>
      <c r="E56" s="311" t="s">
        <v>343</v>
      </c>
      <c r="F56" s="341">
        <v>4.0999999999999996</v>
      </c>
      <c r="G56" s="312" t="s">
        <v>1290</v>
      </c>
      <c r="H56" s="404">
        <f>'Growth Metric by Entity_Dept'!R23</f>
        <v>385379.78</v>
      </c>
      <c r="I56" s="404">
        <f>'Growth Metric by Entity_Dept'!S23</f>
        <v>400048</v>
      </c>
    </row>
    <row r="57" spans="1:59" s="208" customFormat="1" ht="15" x14ac:dyDescent="0.25">
      <c r="A57" s="312"/>
      <c r="B57" s="328" t="s">
        <v>296</v>
      </c>
      <c r="C57" s="313" t="s">
        <v>48</v>
      </c>
      <c r="D57" s="313">
        <v>4</v>
      </c>
      <c r="E57" s="311" t="s">
        <v>343</v>
      </c>
      <c r="F57" s="341">
        <v>4.0999999999999996</v>
      </c>
      <c r="G57" s="312" t="s">
        <v>386</v>
      </c>
      <c r="H57" s="404">
        <f>'Growth Metric by Entity_Dept'!R24</f>
        <v>44023</v>
      </c>
      <c r="I57" s="404">
        <f>'Growth Metric by Entity_Dept'!S24</f>
        <v>41617</v>
      </c>
    </row>
    <row r="58" spans="1:59" s="208" customFormat="1" ht="15" x14ac:dyDescent="0.25">
      <c r="A58" s="312"/>
      <c r="B58" s="328" t="s">
        <v>296</v>
      </c>
      <c r="C58" s="313" t="s">
        <v>52</v>
      </c>
      <c r="D58" s="313">
        <v>4</v>
      </c>
      <c r="E58" s="311" t="s">
        <v>343</v>
      </c>
      <c r="F58" s="341">
        <v>4.0999999999999996</v>
      </c>
      <c r="G58" s="312" t="s">
        <v>1290</v>
      </c>
      <c r="H58" s="404">
        <f>'Growth Metric by Entity_Dept'!R36</f>
        <v>176250.41666666663</v>
      </c>
      <c r="I58" s="404">
        <f>'Growth Metric by Entity_Dept'!S36</f>
        <v>179774.71</v>
      </c>
    </row>
    <row r="59" spans="1:59" s="208" customFormat="1" ht="15" x14ac:dyDescent="0.25">
      <c r="A59" s="312"/>
      <c r="B59" s="328" t="s">
        <v>296</v>
      </c>
      <c r="C59" s="313" t="s">
        <v>52</v>
      </c>
      <c r="D59" s="313">
        <v>4</v>
      </c>
      <c r="E59" s="311" t="s">
        <v>343</v>
      </c>
      <c r="F59" s="341">
        <v>4.0999999999999996</v>
      </c>
      <c r="G59" s="312" t="s">
        <v>386</v>
      </c>
      <c r="H59" s="404">
        <f>'Growth Metric by Entity_Dept'!R37</f>
        <v>32990.609999999986</v>
      </c>
      <c r="I59" s="404">
        <f>'Growth Metric by Entity_Dept'!S37</f>
        <v>32993.54</v>
      </c>
    </row>
    <row r="60" spans="1:59" s="208" customFormat="1" ht="15" x14ac:dyDescent="0.25">
      <c r="A60" s="312"/>
      <c r="B60" s="328" t="s">
        <v>296</v>
      </c>
      <c r="C60" s="313" t="s">
        <v>55</v>
      </c>
      <c r="D60" s="313">
        <v>4</v>
      </c>
      <c r="E60" s="311" t="s">
        <v>343</v>
      </c>
      <c r="F60" s="341">
        <v>4.0999999999999996</v>
      </c>
      <c r="G60" s="312" t="s">
        <v>1290</v>
      </c>
      <c r="H60" s="404">
        <f>'Growth Metric by Entity_Dept'!R46</f>
        <v>105344</v>
      </c>
      <c r="I60" s="404">
        <f>'Growth Metric by Entity_Dept'!S46</f>
        <v>103221</v>
      </c>
    </row>
    <row r="61" spans="1:59" s="208" customFormat="1" ht="15" x14ac:dyDescent="0.25">
      <c r="A61" s="312"/>
      <c r="B61" s="328" t="s">
        <v>296</v>
      </c>
      <c r="C61" s="313" t="s">
        <v>55</v>
      </c>
      <c r="D61" s="313">
        <v>4</v>
      </c>
      <c r="E61" s="311" t="s">
        <v>343</v>
      </c>
      <c r="F61" s="341">
        <v>4.0999999999999996</v>
      </c>
      <c r="G61" s="312" t="s">
        <v>386</v>
      </c>
      <c r="H61" s="404">
        <f>'Growth Metric by Entity_Dept'!R48</f>
        <v>2958.0299999999997</v>
      </c>
      <c r="I61" s="404">
        <f>'Growth Metric by Entity_Dept'!S48</f>
        <v>3469</v>
      </c>
    </row>
    <row r="62" spans="1:59" s="208" customFormat="1" ht="15" x14ac:dyDescent="0.25">
      <c r="A62" s="312"/>
      <c r="B62" s="328" t="s">
        <v>296</v>
      </c>
      <c r="C62" s="313" t="s">
        <v>58</v>
      </c>
      <c r="D62" s="313">
        <v>4</v>
      </c>
      <c r="E62" s="311" t="s">
        <v>343</v>
      </c>
      <c r="F62" s="341">
        <v>4.0999999999999996</v>
      </c>
      <c r="G62" s="312" t="s">
        <v>1314</v>
      </c>
      <c r="H62" s="404">
        <f>'Growth Metric by Entity_Dept'!R56</f>
        <v>150575.31</v>
      </c>
      <c r="I62" s="404">
        <f>'Growth Metric by Entity_Dept'!S56</f>
        <v>163952</v>
      </c>
    </row>
    <row r="63" spans="1:59" s="208" customFormat="1" ht="15" x14ac:dyDescent="0.25">
      <c r="A63" s="312"/>
      <c r="B63" s="328" t="s">
        <v>296</v>
      </c>
      <c r="C63" s="313" t="s">
        <v>549</v>
      </c>
      <c r="D63" s="313">
        <v>4</v>
      </c>
      <c r="E63" s="311" t="s">
        <v>343</v>
      </c>
      <c r="F63" s="341">
        <v>4.0999999999999996</v>
      </c>
      <c r="G63" s="312" t="s">
        <v>1290</v>
      </c>
      <c r="H63" s="404">
        <f>'Growth Metric by Entity_Dept'!R19</f>
        <v>114395.10999999999</v>
      </c>
      <c r="I63" s="404">
        <f>'Growth Metric by Entity_Dept'!S19</f>
        <v>117169</v>
      </c>
    </row>
    <row r="64" spans="1:59" s="208" customFormat="1" ht="15" x14ac:dyDescent="0.25">
      <c r="A64" s="312"/>
      <c r="B64" s="328" t="s">
        <v>296</v>
      </c>
      <c r="C64" s="313" t="s">
        <v>549</v>
      </c>
      <c r="D64" s="313">
        <v>4</v>
      </c>
      <c r="E64" s="311" t="s">
        <v>343</v>
      </c>
      <c r="F64" s="341">
        <v>4.0999999999999996</v>
      </c>
      <c r="G64" s="312" t="s">
        <v>386</v>
      </c>
      <c r="H64" s="404">
        <f>'Growth Metric by Entity_Dept'!R21</f>
        <v>10356</v>
      </c>
      <c r="I64" s="404">
        <f>'Growth Metric by Entity_Dept'!S21</f>
        <v>11527</v>
      </c>
    </row>
    <row r="65" spans="1:59" s="208" customFormat="1" ht="15" x14ac:dyDescent="0.25">
      <c r="A65" s="312"/>
      <c r="B65" s="328" t="s">
        <v>296</v>
      </c>
      <c r="C65" s="313" t="s">
        <v>410</v>
      </c>
      <c r="D65" s="313">
        <v>4</v>
      </c>
      <c r="E65" s="311" t="str">
        <f>E53</f>
        <v>Increase Total Provider Productivity</v>
      </c>
      <c r="F65" s="341">
        <f>F53</f>
        <v>4.0999999999999996</v>
      </c>
      <c r="G65" s="312" t="str">
        <f>Ob_Gyn!D11</f>
        <v>Achieve budgeted  wRVUs - UNMH</v>
      </c>
      <c r="H65" s="404">
        <f>'Growth Metric by Entity_Dept'!R32</f>
        <v>112106.97</v>
      </c>
      <c r="I65" s="347">
        <f>Ob_Gyn!E11</f>
        <v>123332.08999999998</v>
      </c>
    </row>
    <row r="66" spans="1:59" s="208" customFormat="1" ht="15" x14ac:dyDescent="0.25">
      <c r="A66" s="312"/>
      <c r="B66" s="328" t="s">
        <v>296</v>
      </c>
      <c r="C66" s="313" t="s">
        <v>410</v>
      </c>
      <c r="D66" s="313">
        <v>4</v>
      </c>
      <c r="E66" s="311" t="str">
        <f t="shared" si="2"/>
        <v>Increase Total Provider Productivity</v>
      </c>
      <c r="F66" s="341">
        <f t="shared" si="3"/>
        <v>4.0999999999999996</v>
      </c>
      <c r="G66" s="312" t="str">
        <f>Ob_Gyn!D12</f>
        <v>Achieve budgeted wRVUs - SRMC</v>
      </c>
      <c r="H66" s="404">
        <f>'Growth Metric by Entity_Dept'!R33</f>
        <v>9955.69</v>
      </c>
      <c r="I66" s="347">
        <f>Ob_Gyn!E12</f>
        <v>12499.500000000004</v>
      </c>
    </row>
    <row r="67" spans="1:59" s="208" customFormat="1" ht="15" x14ac:dyDescent="0.25">
      <c r="A67" s="312"/>
      <c r="B67" s="328" t="s">
        <v>296</v>
      </c>
      <c r="C67" s="313" t="s">
        <v>43</v>
      </c>
      <c r="D67" s="313">
        <v>4</v>
      </c>
      <c r="E67" s="311" t="s">
        <v>343</v>
      </c>
      <c r="F67" s="341">
        <v>4.0999999999999996</v>
      </c>
      <c r="G67" s="312" t="s">
        <v>1290</v>
      </c>
      <c r="H67" s="404">
        <f>'Growth Metric by Entity_Dept'!R11</f>
        <v>604484.5850000002</v>
      </c>
      <c r="I67" s="404">
        <f>'Growth Metric by Entity_Dept'!S11</f>
        <v>632171.18000000017</v>
      </c>
    </row>
    <row r="68" spans="1:59" s="208" customFormat="1" ht="15" x14ac:dyDescent="0.25">
      <c r="A68" s="312"/>
      <c r="B68" s="328" t="s">
        <v>296</v>
      </c>
      <c r="C68" s="313" t="s">
        <v>43</v>
      </c>
      <c r="D68" s="313">
        <v>4</v>
      </c>
      <c r="E68" s="311" t="s">
        <v>343</v>
      </c>
      <c r="F68" s="341">
        <v>4.0999999999999996</v>
      </c>
      <c r="G68" s="312" t="s">
        <v>386</v>
      </c>
      <c r="H68" s="404">
        <f>'Growth Metric by Entity_Dept'!R12</f>
        <v>107223.92333333335</v>
      </c>
      <c r="I68" s="404">
        <f>'Growth Metric by Entity_Dept'!S12</f>
        <v>112584</v>
      </c>
    </row>
    <row r="69" spans="1:59" s="208" customFormat="1" ht="15" x14ac:dyDescent="0.25">
      <c r="A69" s="312"/>
      <c r="B69" s="328" t="s">
        <v>296</v>
      </c>
      <c r="C69" s="313" t="s">
        <v>53</v>
      </c>
      <c r="D69" s="313">
        <v>4</v>
      </c>
      <c r="E69" s="311" t="str">
        <f>E66</f>
        <v>Increase Total Provider Productivity</v>
      </c>
      <c r="F69" s="341">
        <f>F66</f>
        <v>4.0999999999999996</v>
      </c>
      <c r="G69" s="312" t="str">
        <f>Pathology!D4</f>
        <v>Achieve budgeted  wRVUs - UNMH</v>
      </c>
      <c r="H69" s="404">
        <f>'Growth Metric by Entity_Dept'!R40</f>
        <v>93612.579999999987</v>
      </c>
      <c r="I69" s="404">
        <f>'Growth Metric by Entity_Dept'!S40</f>
        <v>95317</v>
      </c>
    </row>
    <row r="70" spans="1:59" s="208" customFormat="1" ht="15" x14ac:dyDescent="0.25">
      <c r="A70" s="312"/>
      <c r="B70" s="328" t="s">
        <v>296</v>
      </c>
      <c r="C70" s="313" t="s">
        <v>53</v>
      </c>
      <c r="D70" s="313">
        <v>4</v>
      </c>
      <c r="E70" s="311" t="s">
        <v>343</v>
      </c>
      <c r="F70" s="341">
        <v>4.0999999999999996</v>
      </c>
      <c r="G70" s="312" t="s">
        <v>386</v>
      </c>
      <c r="H70" s="404">
        <f>'Growth Metric by Entity_Dept'!R41</f>
        <v>17.823333333333331</v>
      </c>
      <c r="I70" s="404">
        <f>'Growth Metric by Entity_Dept'!S41</f>
        <v>20.34</v>
      </c>
    </row>
    <row r="71" spans="1:59" s="208" customFormat="1" ht="15" x14ac:dyDescent="0.25">
      <c r="A71" s="312"/>
      <c r="B71" s="328" t="s">
        <v>296</v>
      </c>
      <c r="C71" s="313" t="s">
        <v>54</v>
      </c>
      <c r="D71" s="313">
        <v>4</v>
      </c>
      <c r="E71" s="311" t="str">
        <f>E69</f>
        <v>Increase Total Provider Productivity</v>
      </c>
      <c r="F71" s="341">
        <f>F69</f>
        <v>4.0999999999999996</v>
      </c>
      <c r="G71" s="312" t="str">
        <f>Pediatrics!D7</f>
        <v>Achieve budgeted  wRVUs - UNMH</v>
      </c>
      <c r="H71" s="347">
        <f>'Growth Metric by Entity_Dept'!R43</f>
        <v>265465.37</v>
      </c>
      <c r="I71" s="347">
        <f>'Growth Metric by Entity_Dept'!S43</f>
        <v>280333</v>
      </c>
    </row>
    <row r="72" spans="1:59" s="208" customFormat="1" ht="14.45" customHeight="1" x14ac:dyDescent="0.25">
      <c r="A72" s="312"/>
      <c r="B72" s="328" t="s">
        <v>296</v>
      </c>
      <c r="C72" s="313" t="s">
        <v>56</v>
      </c>
      <c r="D72" s="313">
        <v>4</v>
      </c>
      <c r="E72" s="311" t="str">
        <f>E71</f>
        <v>Increase Total Provider Productivity</v>
      </c>
      <c r="F72" s="341">
        <f>F71</f>
        <v>4.0999999999999996</v>
      </c>
      <c r="G72" s="312" t="str">
        <f>G46</f>
        <v xml:space="preserve">Achieve Budgeted wRVU's </v>
      </c>
      <c r="H72" s="347">
        <f>'Growth Metric by Entity_Dept'!R50</f>
        <v>267299.21000000008</v>
      </c>
      <c r="I72" s="347">
        <f>'Growth Metric by Entity_Dept'!S50</f>
        <v>272277.60999999987</v>
      </c>
    </row>
    <row r="73" spans="1:59" s="326" customFormat="1" ht="15" x14ac:dyDescent="0.25">
      <c r="A73" s="310">
        <v>2</v>
      </c>
      <c r="B73" s="309" t="s">
        <v>7</v>
      </c>
      <c r="C73" s="309" t="s">
        <v>492</v>
      </c>
      <c r="D73" s="309">
        <v>5</v>
      </c>
      <c r="E73" s="319" t="s">
        <v>26</v>
      </c>
      <c r="F73" s="333">
        <v>5.0999999999999996</v>
      </c>
      <c r="G73" s="310"/>
      <c r="H73" s="331"/>
      <c r="I73" s="348"/>
    </row>
    <row r="74" spans="1:59" s="345" customFormat="1" ht="15" x14ac:dyDescent="0.25">
      <c r="A74" s="318">
        <v>2</v>
      </c>
      <c r="B74" s="316" t="s">
        <v>7</v>
      </c>
      <c r="C74" s="316" t="s">
        <v>46</v>
      </c>
      <c r="D74" s="316">
        <f t="shared" ref="D74:F78" si="6">D73</f>
        <v>5</v>
      </c>
      <c r="E74" s="317" t="str">
        <f t="shared" si="6"/>
        <v>Improve Inpatient Quality and Safety</v>
      </c>
      <c r="F74" s="343">
        <f t="shared" si="6"/>
        <v>5.0999999999999996</v>
      </c>
      <c r="G74" s="318" t="str">
        <f>'Emergency Medicine'!D9</f>
        <v>Abx in one hour in sepsis bundle patients (percent)</v>
      </c>
      <c r="H74" s="344"/>
      <c r="I74" s="349" t="str">
        <f>'Emergency Medicine'!E9</f>
        <v>&gt;85%</v>
      </c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  <c r="AR74" s="421"/>
      <c r="AS74" s="421"/>
      <c r="AT74" s="421"/>
      <c r="AU74" s="421"/>
      <c r="AV74" s="421"/>
      <c r="AW74" s="421"/>
      <c r="AX74" s="421"/>
      <c r="AY74" s="421"/>
      <c r="AZ74" s="421"/>
      <c r="BA74" s="421"/>
      <c r="BB74" s="421"/>
      <c r="BC74" s="421"/>
      <c r="BD74" s="421"/>
      <c r="BE74" s="421"/>
      <c r="BF74" s="421"/>
      <c r="BG74" s="421"/>
    </row>
    <row r="75" spans="1:59" s="345" customFormat="1" ht="15" x14ac:dyDescent="0.25">
      <c r="A75" s="318"/>
      <c r="B75" s="316" t="s">
        <v>7</v>
      </c>
      <c r="C75" s="316" t="s">
        <v>48</v>
      </c>
      <c r="D75" s="316">
        <f t="shared" si="6"/>
        <v>5</v>
      </c>
      <c r="E75" s="317" t="str">
        <f t="shared" si="6"/>
        <v>Improve Inpatient Quality and Safety</v>
      </c>
      <c r="F75" s="343">
        <f t="shared" si="6"/>
        <v>5.0999999999999996</v>
      </c>
      <c r="G75" s="318" t="str">
        <f>'Internal Medicine'!D11</f>
        <v xml:space="preserve">Mortality index </v>
      </c>
      <c r="H75" s="414">
        <f>'Qual_Saf Metric by Entity_Dept'!B18</f>
        <v>0.97</v>
      </c>
      <c r="I75" s="349">
        <f>'Qual_Saf Metric by Entity_Dept'!C18</f>
        <v>0.94</v>
      </c>
    </row>
    <row r="76" spans="1:59" s="345" customFormat="1" ht="15" x14ac:dyDescent="0.25">
      <c r="A76" s="318"/>
      <c r="B76" s="316" t="s">
        <v>7</v>
      </c>
      <c r="C76" s="316" t="s">
        <v>50</v>
      </c>
      <c r="D76" s="316">
        <f t="shared" si="6"/>
        <v>5</v>
      </c>
      <c r="E76" s="317" t="str">
        <f t="shared" si="6"/>
        <v>Improve Inpatient Quality and Safety</v>
      </c>
      <c r="F76" s="343">
        <f t="shared" si="6"/>
        <v>5.0999999999999996</v>
      </c>
      <c r="G76" s="318" t="str">
        <f>Neurosurgery!D11</f>
        <v xml:space="preserve">Mortality index </v>
      </c>
      <c r="H76" s="414">
        <f>'Qual_Saf Metric by Entity_Dept'!B20</f>
        <v>1.24</v>
      </c>
      <c r="I76" s="414">
        <f>'Qual_Saf Metric by Entity_Dept'!C20</f>
        <v>1</v>
      </c>
    </row>
    <row r="77" spans="1:59" s="345" customFormat="1" ht="15" x14ac:dyDescent="0.25">
      <c r="A77" s="318"/>
      <c r="B77" s="316" t="s">
        <v>7</v>
      </c>
      <c r="C77" s="316" t="s">
        <v>49</v>
      </c>
      <c r="D77" s="316">
        <v>5</v>
      </c>
      <c r="E77" s="317" t="s">
        <v>26</v>
      </c>
      <c r="F77" s="815">
        <f t="shared" si="6"/>
        <v>5.0999999999999996</v>
      </c>
      <c r="G77" s="318" t="s">
        <v>335</v>
      </c>
      <c r="H77" s="414">
        <f>'Qual_Saf Metric by Entity_Dept'!B19</f>
        <v>1.01</v>
      </c>
      <c r="I77" s="414">
        <f>'Qual_Saf Metric by Entity_Dept'!C19</f>
        <v>0.93</v>
      </c>
    </row>
    <row r="78" spans="1:59" s="345" customFormat="1" ht="15" x14ac:dyDescent="0.25">
      <c r="A78" s="318">
        <v>2</v>
      </c>
      <c r="B78" s="316" t="s">
        <v>7</v>
      </c>
      <c r="C78" s="316" t="s">
        <v>43</v>
      </c>
      <c r="D78" s="316" t="e">
        <f>#REF!</f>
        <v>#REF!</v>
      </c>
      <c r="E78" s="808" t="str">
        <f t="shared" ref="E78" si="7">E77</f>
        <v>Improve Inpatient Quality and Safety</v>
      </c>
      <c r="F78" s="815">
        <f t="shared" si="6"/>
        <v>5.0999999999999996</v>
      </c>
      <c r="G78" s="318" t="str">
        <f>Anesthesiology!D12</f>
        <v>PSI 6 - Iatro Pneumothorax</v>
      </c>
      <c r="H78" s="344">
        <v>0</v>
      </c>
      <c r="I78" s="346">
        <f>Anesthesiology!E12</f>
        <v>0</v>
      </c>
    </row>
    <row r="79" spans="1:59" s="345" customFormat="1" ht="14.45" customHeight="1" x14ac:dyDescent="0.25">
      <c r="A79" s="318"/>
      <c r="B79" s="316" t="s">
        <v>7</v>
      </c>
      <c r="C79" s="316" t="s">
        <v>44</v>
      </c>
      <c r="D79" s="316">
        <v>5</v>
      </c>
      <c r="E79" s="317" t="s">
        <v>26</v>
      </c>
      <c r="F79" s="343">
        <v>5.2</v>
      </c>
      <c r="G79" s="318" t="str">
        <f>' Dental Medicine'!D9</f>
        <v>Handwashing</v>
      </c>
      <c r="H79" s="409">
        <v>0.98809999999999998</v>
      </c>
      <c r="I79" s="408">
        <f>' Dental Medicine'!E9</f>
        <v>1</v>
      </c>
    </row>
    <row r="80" spans="1:59" s="817" customFormat="1" ht="14.45" customHeight="1" x14ac:dyDescent="0.25">
      <c r="A80" s="809"/>
      <c r="B80" s="807" t="s">
        <v>7</v>
      </c>
      <c r="C80" s="807" t="s">
        <v>44</v>
      </c>
      <c r="D80" s="807">
        <v>5</v>
      </c>
      <c r="E80" s="808" t="s">
        <v>26</v>
      </c>
      <c r="F80" s="815">
        <v>5.2</v>
      </c>
      <c r="G80" s="809" t="s">
        <v>327</v>
      </c>
      <c r="H80" s="820"/>
      <c r="I80" s="819">
        <v>0.8</v>
      </c>
    </row>
    <row r="81" spans="1:59" s="345" customFormat="1" ht="14.45" customHeight="1" x14ac:dyDescent="0.25">
      <c r="A81" s="318"/>
      <c r="B81" s="316" t="s">
        <v>7</v>
      </c>
      <c r="C81" s="316" t="s">
        <v>45</v>
      </c>
      <c r="D81" s="316">
        <f>D79</f>
        <v>5</v>
      </c>
      <c r="E81" s="317" t="str">
        <f>E79</f>
        <v>Improve Inpatient Quality and Safety</v>
      </c>
      <c r="F81" s="343">
        <f>F79</f>
        <v>5.2</v>
      </c>
      <c r="G81" s="318" t="str">
        <f>Dermatology!D6</f>
        <v>Follow-up on malignancy after biopsy</v>
      </c>
      <c r="H81" s="409">
        <v>1</v>
      </c>
      <c r="I81" s="408">
        <f>Dermatology!E6</f>
        <v>1</v>
      </c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  <c r="AR81" s="421"/>
      <c r="AS81" s="421"/>
      <c r="AT81" s="421"/>
      <c r="AU81" s="421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  <c r="BF81" s="421"/>
      <c r="BG81" s="421"/>
    </row>
    <row r="82" spans="1:59" s="345" customFormat="1" ht="14.45" customHeight="1" x14ac:dyDescent="0.25">
      <c r="A82" s="318"/>
      <c r="B82" s="316" t="s">
        <v>7</v>
      </c>
      <c r="C82" s="316" t="s">
        <v>50</v>
      </c>
      <c r="D82" s="316">
        <f t="shared" ref="D82:D85" si="8">D81</f>
        <v>5</v>
      </c>
      <c r="E82" s="317" t="str">
        <f t="shared" ref="E82:E86" si="9">E81</f>
        <v>Improve Inpatient Quality and Safety</v>
      </c>
      <c r="F82" s="343">
        <f t="shared" ref="F82:F86" si="10">F81</f>
        <v>5.2</v>
      </c>
      <c r="G82" s="318" t="str">
        <f>Neurosurgery!D13</f>
        <v xml:space="preserve">Vizient CAUTI </v>
      </c>
      <c r="H82" s="417">
        <f>8/10*12</f>
        <v>9.6000000000000014</v>
      </c>
      <c r="I82" s="416">
        <f>Neurosurgery!E13</f>
        <v>3</v>
      </c>
    </row>
    <row r="83" spans="1:59" s="345" customFormat="1" ht="14.45" customHeight="1" x14ac:dyDescent="0.25">
      <c r="A83" s="318"/>
      <c r="B83" s="316" t="s">
        <v>7</v>
      </c>
      <c r="C83" s="316" t="s">
        <v>55</v>
      </c>
      <c r="D83" s="316">
        <v>5</v>
      </c>
      <c r="E83" s="317" t="s">
        <v>26</v>
      </c>
      <c r="F83" s="343">
        <v>5.2</v>
      </c>
      <c r="G83" s="318" t="str">
        <f>Psychiatry!D11</f>
        <v>HBIPs-5</v>
      </c>
      <c r="H83" s="767">
        <v>0.875</v>
      </c>
      <c r="I83" s="351">
        <f>Psychiatry!E11</f>
        <v>0.9</v>
      </c>
    </row>
    <row r="84" spans="1:59" s="345" customFormat="1" ht="14.45" customHeight="1" x14ac:dyDescent="0.25">
      <c r="A84" s="318"/>
      <c r="B84" s="316" t="s">
        <v>7</v>
      </c>
      <c r="C84" s="316" t="s">
        <v>55</v>
      </c>
      <c r="D84" s="316">
        <v>5</v>
      </c>
      <c r="E84" s="317" t="str">
        <f t="shared" si="9"/>
        <v>Improve Inpatient Quality and Safety</v>
      </c>
      <c r="F84" s="343">
        <f t="shared" si="10"/>
        <v>5.2</v>
      </c>
      <c r="G84" s="318" t="str">
        <f>Psychiatry!D12</f>
        <v>Sentinel events</v>
      </c>
      <c r="H84" s="417">
        <v>0</v>
      </c>
      <c r="I84" s="418">
        <f>Psychiatry!E12</f>
        <v>0</v>
      </c>
    </row>
    <row r="85" spans="1:59" s="345" customFormat="1" ht="14.45" customHeight="1" x14ac:dyDescent="0.25">
      <c r="A85" s="318"/>
      <c r="B85" s="316" t="s">
        <v>7</v>
      </c>
      <c r="C85" s="316" t="s">
        <v>56</v>
      </c>
      <c r="D85" s="316">
        <f t="shared" si="8"/>
        <v>5</v>
      </c>
      <c r="E85" s="317" t="str">
        <f t="shared" si="9"/>
        <v>Improve Inpatient Quality and Safety</v>
      </c>
      <c r="F85" s="343">
        <f t="shared" si="10"/>
        <v>5.2</v>
      </c>
      <c r="G85" s="318" t="str">
        <f>Radiology!D8</f>
        <v>Reduce numbers of patient falls in PSI system</v>
      </c>
      <c r="H85" s="417"/>
      <c r="I85" s="418">
        <f>Radiology!E8</f>
        <v>0</v>
      </c>
    </row>
    <row r="86" spans="1:59" s="345" customFormat="1" ht="15" x14ac:dyDescent="0.25">
      <c r="A86" s="318">
        <v>2</v>
      </c>
      <c r="B86" s="316" t="s">
        <v>7</v>
      </c>
      <c r="C86" s="316" t="s">
        <v>43</v>
      </c>
      <c r="D86" s="316" t="e">
        <f>#REF!</f>
        <v>#REF!</v>
      </c>
      <c r="E86" s="808" t="str">
        <f t="shared" si="9"/>
        <v>Improve Inpatient Quality and Safety</v>
      </c>
      <c r="F86" s="815">
        <f t="shared" si="10"/>
        <v>5.2</v>
      </c>
      <c r="G86" s="318" t="str">
        <f>Anesthesiology!D13</f>
        <v>SSI - Colon resections</v>
      </c>
      <c r="H86" s="344">
        <f>4/8*10</f>
        <v>5</v>
      </c>
      <c r="I86" s="405">
        <f>Anesthesiology!E13</f>
        <v>7</v>
      </c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  <c r="AR86" s="421"/>
      <c r="AS86" s="421"/>
      <c r="AT86" s="421"/>
      <c r="AU86" s="421"/>
      <c r="AV86" s="421"/>
      <c r="AW86" s="421"/>
      <c r="AX86" s="421"/>
      <c r="AY86" s="421"/>
      <c r="AZ86" s="421"/>
      <c r="BA86" s="421"/>
      <c r="BB86" s="421"/>
      <c r="BC86" s="421"/>
      <c r="BD86" s="421"/>
      <c r="BE86" s="421"/>
      <c r="BF86" s="421"/>
      <c r="BG86" s="421"/>
    </row>
    <row r="87" spans="1:59" s="345" customFormat="1" ht="15" x14ac:dyDescent="0.25">
      <c r="A87" s="318"/>
      <c r="B87" s="316" t="s">
        <v>7</v>
      </c>
      <c r="C87" s="316" t="s">
        <v>410</v>
      </c>
      <c r="D87" s="316">
        <v>5</v>
      </c>
      <c r="E87" s="317" t="s">
        <v>26</v>
      </c>
      <c r="F87" s="343">
        <v>5.3</v>
      </c>
      <c r="G87" s="318" t="str">
        <f>Ob_Gyn!D16</f>
        <v xml:space="preserve">SSI Hysterectomy </v>
      </c>
      <c r="H87" s="417">
        <f>5/8*10</f>
        <v>6.25</v>
      </c>
      <c r="I87" s="346">
        <f>Ob_Gyn!E16</f>
        <v>3</v>
      </c>
    </row>
    <row r="88" spans="1:59" s="345" customFormat="1" ht="15" x14ac:dyDescent="0.25">
      <c r="A88" s="318"/>
      <c r="B88" s="316" t="s">
        <v>7</v>
      </c>
      <c r="C88" s="316" t="s">
        <v>54</v>
      </c>
      <c r="D88" s="316">
        <f t="shared" ref="D88:E88" si="11">D87</f>
        <v>5</v>
      </c>
      <c r="E88" s="317" t="str">
        <f t="shared" si="11"/>
        <v>Improve Inpatient Quality and Safety</v>
      </c>
      <c r="F88" s="343">
        <f t="shared" ref="F88" si="12">F87</f>
        <v>5.3</v>
      </c>
      <c r="G88" s="318" t="str">
        <f>Pediatrics!D11</f>
        <v>C-diff</v>
      </c>
      <c r="H88" s="417">
        <f>9/10*12</f>
        <v>10.8</v>
      </c>
      <c r="I88" s="419">
        <f>Pediatrics!E11</f>
        <v>6</v>
      </c>
    </row>
    <row r="89" spans="1:59" s="345" customFormat="1" ht="15" x14ac:dyDescent="0.25">
      <c r="A89" s="318"/>
      <c r="B89" s="316" t="s">
        <v>7</v>
      </c>
      <c r="C89" s="316" t="s">
        <v>549</v>
      </c>
      <c r="D89" s="316">
        <v>5</v>
      </c>
      <c r="E89" s="317" t="s">
        <v>26</v>
      </c>
      <c r="F89" s="343">
        <v>5.3</v>
      </c>
      <c r="G89" s="318" t="s">
        <v>339</v>
      </c>
      <c r="H89" s="417">
        <f>3/8*10</f>
        <v>3.75</v>
      </c>
      <c r="I89" s="419">
        <f>'Familty &amp; Comm Medicine'!E14</f>
        <v>3</v>
      </c>
    </row>
    <row r="90" spans="1:59" s="345" customFormat="1" ht="15" x14ac:dyDescent="0.25">
      <c r="A90" s="318"/>
      <c r="B90" s="316" t="s">
        <v>7</v>
      </c>
      <c r="C90" s="316" t="s">
        <v>48</v>
      </c>
      <c r="D90" s="316">
        <v>5</v>
      </c>
      <c r="E90" s="317" t="s">
        <v>26</v>
      </c>
      <c r="F90" s="343">
        <v>5.0999999999999996</v>
      </c>
      <c r="G90" s="318" t="str">
        <f>'Internal Medicine'!D14</f>
        <v>Vizient C-diff</v>
      </c>
      <c r="H90" s="344">
        <f>48/10*12</f>
        <v>57.599999999999994</v>
      </c>
      <c r="I90" s="346">
        <f>'Internal Medicine'!E14</f>
        <v>52</v>
      </c>
    </row>
    <row r="91" spans="1:59" s="345" customFormat="1" ht="15" x14ac:dyDescent="0.25">
      <c r="A91" s="318">
        <v>2</v>
      </c>
      <c r="B91" s="316" t="s">
        <v>7</v>
      </c>
      <c r="C91" s="316" t="s">
        <v>58</v>
      </c>
      <c r="D91" s="316" t="e">
        <f>D86</f>
        <v>#REF!</v>
      </c>
      <c r="E91" s="317" t="str">
        <f>E86</f>
        <v>Improve Inpatient Quality and Safety</v>
      </c>
      <c r="F91" s="343">
        <f>F86</f>
        <v>5.2</v>
      </c>
      <c r="G91" s="318" t="str">
        <f>'Cancer Center'!D13</f>
        <v>Vizient C-diff</v>
      </c>
      <c r="H91" s="346">
        <f>1/10*12</f>
        <v>1.2000000000000002</v>
      </c>
      <c r="I91" s="419">
        <f>'Cancer Center'!E13</f>
        <v>6</v>
      </c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  <c r="AR91" s="421"/>
      <c r="AS91" s="421"/>
      <c r="AT91" s="421"/>
      <c r="AU91" s="421"/>
      <c r="AV91" s="421"/>
      <c r="AW91" s="421"/>
      <c r="AX91" s="421"/>
      <c r="AY91" s="421"/>
      <c r="AZ91" s="421"/>
      <c r="BA91" s="421"/>
      <c r="BB91" s="421"/>
      <c r="BC91" s="421"/>
      <c r="BD91" s="421"/>
      <c r="BE91" s="421"/>
      <c r="BF91" s="421"/>
      <c r="BG91" s="421"/>
    </row>
    <row r="92" spans="1:59" s="326" customFormat="1" ht="15" x14ac:dyDescent="0.25">
      <c r="A92" s="310">
        <v>2</v>
      </c>
      <c r="B92" s="309" t="s">
        <v>7</v>
      </c>
      <c r="C92" s="309" t="s">
        <v>492</v>
      </c>
      <c r="D92" s="309">
        <v>6</v>
      </c>
      <c r="E92" s="319" t="s">
        <v>510</v>
      </c>
      <c r="F92" s="333">
        <v>6.2</v>
      </c>
      <c r="G92" s="310"/>
      <c r="H92" s="331"/>
      <c r="I92" s="350"/>
    </row>
    <row r="93" spans="1:59" s="345" customFormat="1" ht="15" x14ac:dyDescent="0.25">
      <c r="A93" s="318">
        <v>2</v>
      </c>
      <c r="B93" s="316" t="s">
        <v>7</v>
      </c>
      <c r="C93" s="316" t="s">
        <v>54</v>
      </c>
      <c r="D93" s="316">
        <v>6</v>
      </c>
      <c r="E93" s="317" t="s">
        <v>510</v>
      </c>
      <c r="F93" s="343">
        <v>6.2</v>
      </c>
      <c r="G93" s="318" t="str">
        <f>Pediatrics!D16</f>
        <v>Well Child visits NB-18 months (&gt;7 visits)</v>
      </c>
      <c r="H93" s="344"/>
      <c r="I93" s="351">
        <v>0.6</v>
      </c>
    </row>
    <row r="94" spans="1:59" s="345" customFormat="1" ht="15" x14ac:dyDescent="0.25">
      <c r="A94" s="318">
        <v>2</v>
      </c>
      <c r="B94" s="316" t="s">
        <v>7</v>
      </c>
      <c r="C94" s="316" t="s">
        <v>549</v>
      </c>
      <c r="D94" s="316">
        <f>D92</f>
        <v>6</v>
      </c>
      <c r="E94" s="317" t="str">
        <f>E92</f>
        <v>Achieve ambulatory quality and performance targets per federal and clinical contracts</v>
      </c>
      <c r="F94" s="343">
        <f>F92</f>
        <v>6.2</v>
      </c>
      <c r="G94" s="318" t="str">
        <f>'Familty &amp; Comm Medicine'!D17</f>
        <v>Diabetes HgbA1c &lt;9</v>
      </c>
      <c r="H94" s="409">
        <v>0.72</v>
      </c>
      <c r="I94" s="351">
        <f>'Familty &amp; Comm Medicine'!E17</f>
        <v>0.82</v>
      </c>
    </row>
    <row r="95" spans="1:59" s="345" customFormat="1" ht="15" x14ac:dyDescent="0.25">
      <c r="A95" s="318"/>
      <c r="B95" s="316" t="s">
        <v>7</v>
      </c>
      <c r="C95" s="316" t="s">
        <v>48</v>
      </c>
      <c r="D95" s="316">
        <v>6</v>
      </c>
      <c r="E95" s="317" t="s">
        <v>510</v>
      </c>
      <c r="F95" s="343">
        <v>6.2</v>
      </c>
      <c r="G95" s="318" t="s">
        <v>1298</v>
      </c>
      <c r="H95" s="409">
        <v>0.71</v>
      </c>
      <c r="I95" s="351">
        <f>'Internal Medicine'!E17</f>
        <v>0.82</v>
      </c>
    </row>
    <row r="96" spans="1:59" s="817" customFormat="1" ht="14.45" customHeight="1" x14ac:dyDescent="0.25">
      <c r="A96" s="809"/>
      <c r="B96" s="807" t="s">
        <v>7</v>
      </c>
      <c r="C96" s="807" t="s">
        <v>56</v>
      </c>
      <c r="D96" s="807">
        <f t="shared" ref="D96" si="13">D95</f>
        <v>6</v>
      </c>
      <c r="E96" s="808" t="s">
        <v>1244</v>
      </c>
      <c r="F96" s="815">
        <f t="shared" ref="F96" si="14">F95</f>
        <v>6.2</v>
      </c>
      <c r="G96" s="809" t="s">
        <v>508</v>
      </c>
      <c r="H96" s="767">
        <v>0.47</v>
      </c>
      <c r="I96" s="351">
        <f>Radiology!E11</f>
        <v>0.65</v>
      </c>
    </row>
    <row r="97" spans="1:59" s="345" customFormat="1" ht="15" x14ac:dyDescent="0.25">
      <c r="A97" s="318">
        <v>2</v>
      </c>
      <c r="B97" s="316" t="s">
        <v>7</v>
      </c>
      <c r="C97" s="316" t="s">
        <v>55</v>
      </c>
      <c r="D97" s="316">
        <v>6</v>
      </c>
      <c r="E97" s="317" t="s">
        <v>510</v>
      </c>
      <c r="F97" s="343">
        <v>6.2</v>
      </c>
      <c r="G97" s="318" t="str">
        <f>Psychiatry!D15</f>
        <v>7 day f/u post hospitalization</v>
      </c>
      <c r="H97" s="767">
        <v>0.65</v>
      </c>
      <c r="I97" s="351">
        <f>Psychiatry!E15</f>
        <v>0.65</v>
      </c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  <c r="AR97" s="421"/>
      <c r="AS97" s="421"/>
      <c r="AT97" s="421"/>
      <c r="AU97" s="421"/>
      <c r="AV97" s="421"/>
      <c r="AW97" s="421"/>
      <c r="AX97" s="421"/>
      <c r="AY97" s="421"/>
      <c r="AZ97" s="421"/>
      <c r="BA97" s="421"/>
      <c r="BB97" s="421"/>
      <c r="BC97" s="421"/>
      <c r="BD97" s="421"/>
      <c r="BE97" s="421"/>
      <c r="BF97" s="421"/>
      <c r="BG97" s="421"/>
    </row>
    <row r="98" spans="1:59" s="326" customFormat="1" ht="15" x14ac:dyDescent="0.25">
      <c r="A98" s="310">
        <v>3</v>
      </c>
      <c r="B98" s="309" t="s">
        <v>2</v>
      </c>
      <c r="C98" s="309" t="s">
        <v>492</v>
      </c>
      <c r="D98" s="309">
        <v>7</v>
      </c>
      <c r="E98" s="315" t="s">
        <v>8</v>
      </c>
      <c r="F98" s="333">
        <v>7.1</v>
      </c>
      <c r="G98" s="310" t="s">
        <v>341</v>
      </c>
      <c r="H98" s="331"/>
      <c r="I98" s="361" t="str">
        <f>ROUND('Service Metric by Entity_Dept'!C4,0) &amp; "%tile"</f>
        <v>38%tile</v>
      </c>
    </row>
    <row r="99" spans="1:59" s="321" customFormat="1" ht="14.45" customHeight="1" x14ac:dyDescent="0.2">
      <c r="A99" s="321">
        <v>3</v>
      </c>
      <c r="B99" s="321" t="s">
        <v>2</v>
      </c>
      <c r="C99" s="321" t="s">
        <v>46</v>
      </c>
      <c r="D99" s="352">
        <f>D98</f>
        <v>7</v>
      </c>
      <c r="E99" s="321" t="s">
        <v>8</v>
      </c>
      <c r="F99" s="352">
        <f>F98</f>
        <v>7.1</v>
      </c>
      <c r="G99" s="321" t="str">
        <f>'Emergency Medicine'!D16</f>
        <v>PG Trauma 1 = Mean</v>
      </c>
      <c r="H99" s="321">
        <f>'Service Metric by Entity_Dept'!F15</f>
        <v>78.8</v>
      </c>
      <c r="I99" s="321">
        <f>'Service Metric by Entity_Dept'!G15</f>
        <v>75</v>
      </c>
    </row>
    <row r="100" spans="1:59" s="321" customFormat="1" ht="14.45" customHeight="1" x14ac:dyDescent="0.2">
      <c r="B100" s="321" t="s">
        <v>2</v>
      </c>
      <c r="C100" s="321" t="s">
        <v>549</v>
      </c>
      <c r="D100" s="352">
        <f>D99</f>
        <v>7</v>
      </c>
      <c r="E100" s="321" t="s">
        <v>8</v>
      </c>
      <c r="F100" s="352">
        <f>F99</f>
        <v>7.1</v>
      </c>
      <c r="G100" s="321" t="str">
        <f>G98</f>
        <v>Rate the hospital stay for HCAHPS</v>
      </c>
      <c r="H100" s="321">
        <f>'Service Metric by Entity_Dept'!B17</f>
        <v>27</v>
      </c>
      <c r="I100" s="321">
        <f>'Service Metric by Entity_Dept'!C17</f>
        <v>32</v>
      </c>
    </row>
    <row r="101" spans="1:59" s="321" customFormat="1" ht="14.45" customHeight="1" x14ac:dyDescent="0.2">
      <c r="B101" s="321" t="s">
        <v>2</v>
      </c>
      <c r="C101" s="321" t="s">
        <v>410</v>
      </c>
      <c r="D101" s="352">
        <v>7</v>
      </c>
      <c r="E101" s="321" t="s">
        <v>8</v>
      </c>
      <c r="F101" s="352">
        <v>7.1</v>
      </c>
      <c r="G101" s="321" t="s">
        <v>1282</v>
      </c>
      <c r="H101" s="321">
        <f>'Service Metric by Entity_Dept'!B24</f>
        <v>29</v>
      </c>
      <c r="I101" s="321">
        <f>'Service Metric by Entity_Dept'!C24</f>
        <v>34</v>
      </c>
    </row>
    <row r="102" spans="1:59" s="321" customFormat="1" ht="14.45" customHeight="1" x14ac:dyDescent="0.2">
      <c r="B102" s="321" t="s">
        <v>2</v>
      </c>
      <c r="C102" s="321" t="s">
        <v>54</v>
      </c>
      <c r="D102" s="352">
        <f>D100</f>
        <v>7</v>
      </c>
      <c r="E102" s="321" t="s">
        <v>8</v>
      </c>
      <c r="F102" s="352">
        <f>F100</f>
        <v>7.1</v>
      </c>
      <c r="G102" s="321" t="str">
        <f>Pediatrics!D17</f>
        <v>UNMH PG top box</v>
      </c>
      <c r="H102" s="321">
        <f>'Service Metric by Entity_Dept'!B28</f>
        <v>64.099999999999994</v>
      </c>
      <c r="I102" s="321">
        <f>Pediatrics!E17</f>
        <v>69.099999999999994</v>
      </c>
    </row>
    <row r="103" spans="1:59" s="769" customFormat="1" ht="14.45" customHeight="1" x14ac:dyDescent="0.2">
      <c r="A103" s="321"/>
      <c r="B103" s="321" t="s">
        <v>2</v>
      </c>
      <c r="C103" s="321" t="s">
        <v>55</v>
      </c>
      <c r="D103" s="352">
        <v>7</v>
      </c>
      <c r="E103" s="321" t="s">
        <v>8</v>
      </c>
      <c r="F103" s="352">
        <v>7.1</v>
      </c>
      <c r="G103" s="321" t="str">
        <f>Psychiatry!D17</f>
        <v>UNMH PG survey - Top Box Score - I/P</v>
      </c>
      <c r="H103" s="321">
        <f>'Service Metric by Entity_Dept'!B30</f>
        <v>89</v>
      </c>
      <c r="I103" s="321">
        <f>'Service Metric by Entity_Dept'!C30</f>
        <v>75</v>
      </c>
    </row>
    <row r="104" spans="1:59" s="769" customFormat="1" ht="14.45" customHeight="1" x14ac:dyDescent="0.2">
      <c r="A104" s="321"/>
      <c r="B104" s="321" t="s">
        <v>2</v>
      </c>
      <c r="C104" s="321" t="s">
        <v>57</v>
      </c>
      <c r="D104" s="352">
        <v>7</v>
      </c>
      <c r="E104" s="321" t="s">
        <v>8</v>
      </c>
      <c r="F104" s="352">
        <v>7.1</v>
      </c>
      <c r="G104" s="321" t="s">
        <v>1282</v>
      </c>
      <c r="H104" s="321">
        <f>'Service Metric by Entity_Dept'!B34</f>
        <v>52</v>
      </c>
      <c r="I104" s="321">
        <f>'Service Metric by Entity_Dept'!C34</f>
        <v>57</v>
      </c>
    </row>
    <row r="105" spans="1:59" s="769" customFormat="1" ht="14.45" customHeight="1" x14ac:dyDescent="0.2">
      <c r="A105" s="321"/>
      <c r="B105" s="321" t="s">
        <v>2</v>
      </c>
      <c r="C105" s="321" t="s">
        <v>52</v>
      </c>
      <c r="D105" s="352">
        <v>7</v>
      </c>
      <c r="E105" s="321" t="s">
        <v>8</v>
      </c>
      <c r="F105" s="352">
        <v>7.1</v>
      </c>
      <c r="G105" s="321" t="s">
        <v>1282</v>
      </c>
      <c r="H105" s="321">
        <f>'Service Metric by Entity_Dept'!B26</f>
        <v>21</v>
      </c>
      <c r="I105" s="321">
        <f>'Service Metric by Entity_Dept'!C26</f>
        <v>26</v>
      </c>
    </row>
    <row r="106" spans="1:59" s="769" customFormat="1" ht="14.45" customHeight="1" x14ac:dyDescent="0.2">
      <c r="A106" s="321"/>
      <c r="B106" s="321" t="s">
        <v>2</v>
      </c>
      <c r="C106" s="321" t="s">
        <v>50</v>
      </c>
      <c r="D106" s="352">
        <v>7</v>
      </c>
      <c r="E106" s="321" t="s">
        <v>8</v>
      </c>
      <c r="F106" s="352">
        <v>7.1</v>
      </c>
      <c r="G106" s="321" t="s">
        <v>1282</v>
      </c>
      <c r="H106" s="321">
        <f>'Service Metric by Entity_Dept'!B22</f>
        <v>53</v>
      </c>
      <c r="I106" s="321">
        <f>'Service Metric by Entity_Dept'!C22</f>
        <v>58</v>
      </c>
    </row>
    <row r="107" spans="1:59" s="769" customFormat="1" ht="14.45" customHeight="1" x14ac:dyDescent="0.2">
      <c r="A107" s="321"/>
      <c r="B107" s="321" t="s">
        <v>2</v>
      </c>
      <c r="C107" s="321" t="s">
        <v>48</v>
      </c>
      <c r="D107" s="352">
        <v>7</v>
      </c>
      <c r="E107" s="321" t="s">
        <v>8</v>
      </c>
      <c r="F107" s="352">
        <v>7.1</v>
      </c>
      <c r="G107" s="321" t="s">
        <v>1282</v>
      </c>
      <c r="H107" s="321">
        <f>'Service Metric by Entity_Dept'!B19</f>
        <v>22</v>
      </c>
      <c r="I107" s="321">
        <f>'Service Metric by Entity_Dept'!C19</f>
        <v>27</v>
      </c>
    </row>
    <row r="108" spans="1:59" s="769" customFormat="1" ht="14.45" customHeight="1" x14ac:dyDescent="0.2">
      <c r="A108" s="321"/>
      <c r="B108" s="321" t="s">
        <v>2</v>
      </c>
      <c r="C108" s="321" t="s">
        <v>49</v>
      </c>
      <c r="D108" s="352">
        <v>7</v>
      </c>
      <c r="E108" s="321" t="s">
        <v>8</v>
      </c>
      <c r="F108" s="352">
        <v>7.1</v>
      </c>
      <c r="G108" s="321" t="s">
        <v>1282</v>
      </c>
      <c r="H108" s="321">
        <f>'Service Metric by Entity_Dept'!B20</f>
        <v>23</v>
      </c>
      <c r="I108" s="321">
        <f>'Service Metric by Entity_Dept'!C20</f>
        <v>28</v>
      </c>
    </row>
    <row r="109" spans="1:59" s="326" customFormat="1" ht="14.45" customHeight="1" x14ac:dyDescent="0.25">
      <c r="A109" s="310">
        <v>3</v>
      </c>
      <c r="B109" s="309" t="s">
        <v>2</v>
      </c>
      <c r="C109" s="309" t="s">
        <v>492</v>
      </c>
      <c r="D109" s="309">
        <v>8</v>
      </c>
      <c r="E109" s="309" t="s">
        <v>9</v>
      </c>
      <c r="F109" s="333">
        <v>8.1</v>
      </c>
      <c r="G109" s="805" t="s">
        <v>1348</v>
      </c>
      <c r="H109" s="331"/>
      <c r="I109" s="322" t="str">
        <f>ROUND('Service Metric by Entity_Dept'!G4,0) &amp; "%tile"</f>
        <v>31%tile</v>
      </c>
    </row>
    <row r="110" spans="1:59" s="320" customFormat="1" ht="14.45" customHeight="1" x14ac:dyDescent="0.2">
      <c r="A110" s="320">
        <v>3</v>
      </c>
      <c r="B110" s="320" t="s">
        <v>2</v>
      </c>
      <c r="C110" s="320" t="s">
        <v>44</v>
      </c>
      <c r="D110" s="320">
        <f>D109</f>
        <v>8</v>
      </c>
      <c r="E110" s="320" t="s">
        <v>9</v>
      </c>
      <c r="F110" s="320">
        <f>F109</f>
        <v>8.1</v>
      </c>
      <c r="G110" s="320" t="str">
        <f>' Dental Medicine'!D10</f>
        <v xml:space="preserve">PG survey mean score </v>
      </c>
      <c r="H110" s="320">
        <f>'Service Metric by Entity_Dept'!F12</f>
        <v>97.3</v>
      </c>
      <c r="I110" s="410">
        <f>' Dental Medicine'!E10</f>
        <v>75</v>
      </c>
    </row>
    <row r="111" spans="1:59" s="320" customFormat="1" ht="14.45" customHeight="1" x14ac:dyDescent="0.2">
      <c r="B111" s="320" t="s">
        <v>2</v>
      </c>
      <c r="C111" s="320" t="s">
        <v>56</v>
      </c>
      <c r="D111" s="320">
        <v>8</v>
      </c>
      <c r="E111" s="320" t="s">
        <v>9</v>
      </c>
      <c r="F111" s="320">
        <v>8.1</v>
      </c>
      <c r="G111" s="320" t="str">
        <f>Radiology!D12</f>
        <v>Press Ganey patient satisfaction</v>
      </c>
      <c r="H111" s="320">
        <f>'Service Metric by Entity_Dept'!F32</f>
        <v>91.1</v>
      </c>
      <c r="I111" s="320">
        <f>'Service Metric by Entity_Dept'!G32</f>
        <v>90</v>
      </c>
    </row>
    <row r="112" spans="1:59" s="320" customFormat="1" ht="14.45" customHeight="1" x14ac:dyDescent="0.2">
      <c r="B112" s="320" t="s">
        <v>2</v>
      </c>
      <c r="C112" s="320" t="s">
        <v>58</v>
      </c>
      <c r="D112" s="320">
        <v>8</v>
      </c>
      <c r="E112" s="320" t="s">
        <v>9</v>
      </c>
      <c r="F112" s="320">
        <v>8.1</v>
      </c>
      <c r="G112" s="320" t="str">
        <f>'Cancer Center'!D14</f>
        <v>Press Ganey Doctors Concerns for questions and worries</v>
      </c>
      <c r="H112" s="320">
        <f>'Service Metric by Entity_Dept'!F35</f>
        <v>93</v>
      </c>
      <c r="I112" s="320">
        <f>'Service Metric by Entity_Dept'!G35</f>
        <v>93</v>
      </c>
    </row>
    <row r="113" spans="1:9" s="320" customFormat="1" ht="14.45" customHeight="1" x14ac:dyDescent="0.2">
      <c r="B113" s="320" t="s">
        <v>2</v>
      </c>
      <c r="C113" s="320" t="s">
        <v>45</v>
      </c>
      <c r="D113" s="320">
        <f>D110</f>
        <v>8</v>
      </c>
      <c r="E113" s="320" t="s">
        <v>9</v>
      </c>
      <c r="F113" s="320">
        <f>F110</f>
        <v>8.1</v>
      </c>
      <c r="G113" s="320" t="str">
        <f>G109</f>
        <v>Likelihood of recommending this practice for Press Ganey</v>
      </c>
      <c r="H113" s="320">
        <f>'Service Metric by Entity_Dept'!F13</f>
        <v>18</v>
      </c>
      <c r="I113" s="410">
        <f>'Service Metric by Entity_Dept'!G13</f>
        <v>25</v>
      </c>
    </row>
    <row r="114" spans="1:9" s="320" customFormat="1" ht="14.45" customHeight="1" x14ac:dyDescent="0.2">
      <c r="B114" s="320" t="s">
        <v>2</v>
      </c>
      <c r="C114" s="320" t="s">
        <v>549</v>
      </c>
      <c r="D114" s="320">
        <f>D113</f>
        <v>8</v>
      </c>
      <c r="E114" s="320" t="s">
        <v>9</v>
      </c>
      <c r="F114" s="320">
        <f>F113</f>
        <v>8.1</v>
      </c>
      <c r="G114" s="320" t="str">
        <f>G109</f>
        <v>Likelihood of recommending this practice for Press Ganey</v>
      </c>
      <c r="H114" s="320">
        <f>'Service Metric by Entity_Dept'!F17</f>
        <v>31</v>
      </c>
      <c r="I114" s="410">
        <f>'Service Metric by Entity_Dept'!G17</f>
        <v>36</v>
      </c>
    </row>
    <row r="115" spans="1:9" s="755" customFormat="1" ht="14.45" customHeight="1" x14ac:dyDescent="0.2">
      <c r="A115" s="320"/>
      <c r="B115" s="320" t="s">
        <v>2</v>
      </c>
      <c r="C115" s="320" t="s">
        <v>410</v>
      </c>
      <c r="D115" s="320">
        <v>8</v>
      </c>
      <c r="E115" s="320" t="s">
        <v>9</v>
      </c>
      <c r="F115" s="320">
        <v>8.1</v>
      </c>
      <c r="G115" s="320" t="s">
        <v>1348</v>
      </c>
      <c r="H115" s="320">
        <f>'Service Metric by Entity_Dept'!F24</f>
        <v>35</v>
      </c>
      <c r="I115" s="320">
        <f>'Service Metric by Entity_Dept'!G24</f>
        <v>40</v>
      </c>
    </row>
    <row r="116" spans="1:9" s="755" customFormat="1" ht="14.45" customHeight="1" x14ac:dyDescent="0.2">
      <c r="A116" s="320"/>
      <c r="B116" s="320" t="s">
        <v>2</v>
      </c>
      <c r="C116" s="320" t="s">
        <v>54</v>
      </c>
      <c r="D116" s="320">
        <f>D114</f>
        <v>8</v>
      </c>
      <c r="E116" s="320" t="s">
        <v>9</v>
      </c>
      <c r="F116" s="320">
        <f>F114</f>
        <v>8.1</v>
      </c>
      <c r="G116" s="320" t="s">
        <v>1348</v>
      </c>
      <c r="H116" s="410">
        <f>'Service Metric by Entity_Dept'!F28</f>
        <v>22</v>
      </c>
      <c r="I116" s="410">
        <f>'Service Metric by Entity_Dept'!G28</f>
        <v>27</v>
      </c>
    </row>
    <row r="117" spans="1:9" s="755" customFormat="1" ht="14.45" customHeight="1" x14ac:dyDescent="0.2">
      <c r="A117" s="320"/>
      <c r="B117" s="320" t="s">
        <v>2</v>
      </c>
      <c r="C117" s="320" t="s">
        <v>57</v>
      </c>
      <c r="D117" s="320">
        <v>8</v>
      </c>
      <c r="E117" s="320" t="s">
        <v>9</v>
      </c>
      <c r="F117" s="320">
        <v>8.1</v>
      </c>
      <c r="G117" s="320" t="s">
        <v>1348</v>
      </c>
      <c r="H117" s="410">
        <f>'Service Metric by Entity_Dept'!F34</f>
        <v>27</v>
      </c>
      <c r="I117" s="410">
        <f>'Service Metric by Entity_Dept'!G34</f>
        <v>32</v>
      </c>
    </row>
    <row r="118" spans="1:9" s="755" customFormat="1" ht="14.45" customHeight="1" x14ac:dyDescent="0.2">
      <c r="A118" s="320"/>
      <c r="B118" s="320" t="s">
        <v>2</v>
      </c>
      <c r="C118" s="320" t="s">
        <v>52</v>
      </c>
      <c r="D118" s="320">
        <v>8</v>
      </c>
      <c r="E118" s="320" t="s">
        <v>9</v>
      </c>
      <c r="F118" s="320">
        <v>8.1</v>
      </c>
      <c r="G118" s="320" t="s">
        <v>1348</v>
      </c>
      <c r="H118" s="410">
        <f>'Service Metric by Entity_Dept'!F26</f>
        <v>19</v>
      </c>
      <c r="I118" s="410">
        <f>'Service Metric by Entity_Dept'!G26</f>
        <v>25</v>
      </c>
    </row>
    <row r="119" spans="1:9" s="755" customFormat="1" ht="14.45" customHeight="1" x14ac:dyDescent="0.2">
      <c r="A119" s="320"/>
      <c r="B119" s="320" t="s">
        <v>2</v>
      </c>
      <c r="C119" s="320" t="s">
        <v>50</v>
      </c>
      <c r="D119" s="320">
        <v>8</v>
      </c>
      <c r="E119" s="320" t="s">
        <v>9</v>
      </c>
      <c r="F119" s="320">
        <v>8.1</v>
      </c>
      <c r="G119" s="320" t="s">
        <v>1348</v>
      </c>
      <c r="H119" s="410">
        <f>'Service Metric by Entity_Dept'!F22</f>
        <v>14</v>
      </c>
      <c r="I119" s="410">
        <f>'Service Metric by Entity_Dept'!G22</f>
        <v>25</v>
      </c>
    </row>
    <row r="120" spans="1:9" s="755" customFormat="1" ht="14.45" customHeight="1" x14ac:dyDescent="0.2">
      <c r="A120" s="320"/>
      <c r="B120" s="320" t="s">
        <v>2</v>
      </c>
      <c r="C120" s="320" t="s">
        <v>48</v>
      </c>
      <c r="D120" s="320">
        <v>8</v>
      </c>
      <c r="E120" s="320" t="s">
        <v>9</v>
      </c>
      <c r="F120" s="320">
        <v>8.1</v>
      </c>
      <c r="G120" s="320" t="s">
        <v>1348</v>
      </c>
      <c r="H120" s="410">
        <f>'Service Metric by Entity_Dept'!F19</f>
        <v>18</v>
      </c>
      <c r="I120" s="410">
        <f>'Service Metric by Entity_Dept'!G19</f>
        <v>25</v>
      </c>
    </row>
    <row r="121" spans="1:9" s="755" customFormat="1" ht="14.45" customHeight="1" x14ac:dyDescent="0.2">
      <c r="A121" s="320"/>
      <c r="B121" s="320" t="s">
        <v>2</v>
      </c>
      <c r="C121" s="320" t="s">
        <v>49</v>
      </c>
      <c r="D121" s="320">
        <v>8</v>
      </c>
      <c r="E121" s="320" t="s">
        <v>9</v>
      </c>
      <c r="F121" s="320">
        <v>8.1</v>
      </c>
      <c r="G121" s="320" t="s">
        <v>1348</v>
      </c>
      <c r="H121" s="410">
        <f>'Service Metric by Entity_Dept'!F20</f>
        <v>21</v>
      </c>
      <c r="I121" s="410">
        <f>'Service Metric by Entity_Dept'!G20</f>
        <v>26</v>
      </c>
    </row>
    <row r="122" spans="1:9" s="326" customFormat="1" ht="14.45" customHeight="1" x14ac:dyDescent="0.25">
      <c r="A122" s="310">
        <v>3</v>
      </c>
      <c r="B122" s="309" t="s">
        <v>3</v>
      </c>
      <c r="C122" s="309" t="s">
        <v>492</v>
      </c>
      <c r="D122" s="309">
        <v>9</v>
      </c>
      <c r="E122" s="322" t="s">
        <v>12</v>
      </c>
      <c r="F122" s="333">
        <v>9.1</v>
      </c>
      <c r="G122" s="310"/>
      <c r="H122" s="331"/>
      <c r="I122" s="336">
        <f>'People Metric by Entity_Dept'!AE4</f>
        <v>0.9</v>
      </c>
    </row>
    <row r="123" spans="1:9" s="323" customFormat="1" ht="14.45" customHeight="1" x14ac:dyDescent="0.2">
      <c r="A123" s="323">
        <v>4</v>
      </c>
      <c r="B123" s="323" t="s">
        <v>3</v>
      </c>
      <c r="C123" s="323" t="s">
        <v>44</v>
      </c>
      <c r="D123" s="323">
        <f>D122</f>
        <v>9</v>
      </c>
      <c r="E123" s="323" t="s">
        <v>12</v>
      </c>
      <c r="F123" s="323">
        <f>F122</f>
        <v>9.1</v>
      </c>
      <c r="G123" s="323" t="s">
        <v>1279</v>
      </c>
      <c r="I123" s="353">
        <f>I122</f>
        <v>0.9</v>
      </c>
    </row>
    <row r="124" spans="1:9" s="323" customFormat="1" ht="14.45" customHeight="1" x14ac:dyDescent="0.2">
      <c r="B124" s="323" t="s">
        <v>3</v>
      </c>
      <c r="C124" s="323" t="s">
        <v>44</v>
      </c>
      <c r="D124" s="323">
        <v>9</v>
      </c>
      <c r="E124" s="323" t="s">
        <v>12</v>
      </c>
      <c r="F124" s="323">
        <v>9.1</v>
      </c>
      <c r="G124" s="323" t="s">
        <v>1280</v>
      </c>
      <c r="I124" s="353">
        <v>0.9</v>
      </c>
    </row>
    <row r="125" spans="1:9" s="323" customFormat="1" ht="14.45" customHeight="1" x14ac:dyDescent="0.2">
      <c r="B125" s="323" t="s">
        <v>3</v>
      </c>
      <c r="C125" s="323" t="s">
        <v>45</v>
      </c>
      <c r="D125" s="323">
        <f>D123</f>
        <v>9</v>
      </c>
      <c r="E125" s="323" t="s">
        <v>12</v>
      </c>
      <c r="F125" s="323">
        <f>F123</f>
        <v>9.1</v>
      </c>
      <c r="G125" s="323" t="str">
        <f>G123</f>
        <v>Aidet Validation</v>
      </c>
      <c r="I125" s="353">
        <f>I123</f>
        <v>0.9</v>
      </c>
    </row>
    <row r="126" spans="1:9" s="323" customFormat="1" ht="14.45" customHeight="1" x14ac:dyDescent="0.2">
      <c r="B126" s="323" t="s">
        <v>3</v>
      </c>
      <c r="C126" s="323" t="s">
        <v>45</v>
      </c>
      <c r="D126" s="323">
        <v>9</v>
      </c>
      <c r="E126" s="323" t="s">
        <v>12</v>
      </c>
      <c r="F126" s="323">
        <v>9.1</v>
      </c>
      <c r="G126" s="323" t="s">
        <v>1280</v>
      </c>
      <c r="I126" s="353">
        <v>0.9</v>
      </c>
    </row>
    <row r="127" spans="1:9" s="323" customFormat="1" ht="14.45" customHeight="1" x14ac:dyDescent="0.2">
      <c r="B127" s="323" t="s">
        <v>3</v>
      </c>
      <c r="C127" s="323" t="s">
        <v>48</v>
      </c>
      <c r="D127" s="323">
        <f>D125</f>
        <v>9</v>
      </c>
      <c r="E127" s="323" t="s">
        <v>12</v>
      </c>
      <c r="F127" s="323">
        <f>F125</f>
        <v>9.1</v>
      </c>
      <c r="G127" s="323" t="str">
        <f>G125</f>
        <v>Aidet Validation</v>
      </c>
      <c r="I127" s="353">
        <f>I125</f>
        <v>0.9</v>
      </c>
    </row>
    <row r="128" spans="1:9" s="323" customFormat="1" ht="14.45" customHeight="1" x14ac:dyDescent="0.2">
      <c r="B128" s="323" t="s">
        <v>3</v>
      </c>
      <c r="C128" s="323" t="s">
        <v>48</v>
      </c>
      <c r="D128" s="323">
        <v>9</v>
      </c>
      <c r="E128" s="323" t="s">
        <v>12</v>
      </c>
      <c r="F128" s="323">
        <v>9.1</v>
      </c>
      <c r="G128" s="323" t="s">
        <v>1280</v>
      </c>
      <c r="I128" s="353">
        <v>0.9</v>
      </c>
    </row>
    <row r="129" spans="2:9" s="323" customFormat="1" ht="15" x14ac:dyDescent="0.2">
      <c r="B129" s="323" t="s">
        <v>3</v>
      </c>
      <c r="C129" s="323" t="s">
        <v>50</v>
      </c>
      <c r="D129" s="323">
        <f>D127</f>
        <v>9</v>
      </c>
      <c r="E129" s="323" t="s">
        <v>12</v>
      </c>
      <c r="F129" s="323">
        <f>F127</f>
        <v>9.1</v>
      </c>
      <c r="G129" s="323" t="s">
        <v>1280</v>
      </c>
      <c r="I129" s="353">
        <f>I127</f>
        <v>0.9</v>
      </c>
    </row>
    <row r="130" spans="2:9" s="323" customFormat="1" ht="15" x14ac:dyDescent="0.2">
      <c r="B130" s="323" t="s">
        <v>3</v>
      </c>
      <c r="C130" s="323" t="s">
        <v>49</v>
      </c>
      <c r="D130" s="323">
        <v>9</v>
      </c>
      <c r="E130" s="323" t="s">
        <v>12</v>
      </c>
      <c r="F130" s="323">
        <v>9.1</v>
      </c>
      <c r="G130" s="323" t="s">
        <v>1280</v>
      </c>
      <c r="I130" s="353">
        <v>0.9</v>
      </c>
    </row>
    <row r="131" spans="2:9" s="811" customFormat="1" ht="15" x14ac:dyDescent="0.2">
      <c r="B131" s="811" t="s">
        <v>3</v>
      </c>
      <c r="C131" s="811" t="s">
        <v>49</v>
      </c>
      <c r="D131" s="811">
        <v>9</v>
      </c>
      <c r="E131" s="811" t="s">
        <v>12</v>
      </c>
      <c r="F131" s="811">
        <v>9.1</v>
      </c>
      <c r="G131" s="811" t="s">
        <v>1279</v>
      </c>
      <c r="I131" s="353">
        <v>0.9</v>
      </c>
    </row>
    <row r="132" spans="2:9" s="323" customFormat="1" ht="15" x14ac:dyDescent="0.2">
      <c r="B132" s="323" t="s">
        <v>3</v>
      </c>
      <c r="C132" s="323" t="s">
        <v>410</v>
      </c>
      <c r="D132" s="323">
        <f>D129</f>
        <v>9</v>
      </c>
      <c r="E132" s="323" t="s">
        <v>12</v>
      </c>
      <c r="F132" s="323">
        <f>F129</f>
        <v>9.1</v>
      </c>
      <c r="G132" s="323" t="str">
        <f>G129</f>
        <v>Rounding</v>
      </c>
      <c r="I132" s="353">
        <f>I129</f>
        <v>0.9</v>
      </c>
    </row>
    <row r="133" spans="2:9" s="323" customFormat="1" ht="15" x14ac:dyDescent="0.2">
      <c r="B133" s="323" t="s">
        <v>3</v>
      </c>
      <c r="C133" s="323" t="s">
        <v>410</v>
      </c>
      <c r="D133" s="323">
        <v>9</v>
      </c>
      <c r="E133" s="323" t="s">
        <v>12</v>
      </c>
      <c r="F133" s="323">
        <v>9.1</v>
      </c>
      <c r="G133" s="323" t="s">
        <v>1280</v>
      </c>
      <c r="I133" s="353">
        <v>0.9</v>
      </c>
    </row>
    <row r="134" spans="2:9" s="323" customFormat="1" ht="15" x14ac:dyDescent="0.2">
      <c r="B134" s="323" t="s">
        <v>3</v>
      </c>
      <c r="C134" s="323" t="s">
        <v>43</v>
      </c>
      <c r="D134" s="323">
        <v>9</v>
      </c>
      <c r="E134" s="323" t="s">
        <v>12</v>
      </c>
      <c r="F134" s="323">
        <v>9.1</v>
      </c>
      <c r="G134" s="323" t="s">
        <v>1279</v>
      </c>
      <c r="I134" s="353">
        <v>0.9</v>
      </c>
    </row>
    <row r="135" spans="2:9" s="323" customFormat="1" ht="15" x14ac:dyDescent="0.2">
      <c r="B135" s="323" t="s">
        <v>3</v>
      </c>
      <c r="C135" s="323" t="s">
        <v>43</v>
      </c>
      <c r="D135" s="323">
        <v>9</v>
      </c>
      <c r="E135" s="323" t="s">
        <v>12</v>
      </c>
      <c r="F135" s="323">
        <v>9.1</v>
      </c>
      <c r="G135" s="323" t="s">
        <v>1280</v>
      </c>
      <c r="I135" s="353">
        <v>0.9</v>
      </c>
    </row>
    <row r="136" spans="2:9" s="323" customFormat="1" ht="15" x14ac:dyDescent="0.2">
      <c r="B136" s="323" t="s">
        <v>3</v>
      </c>
      <c r="C136" s="323" t="s">
        <v>46</v>
      </c>
      <c r="D136" s="323">
        <v>9</v>
      </c>
      <c r="E136" s="323" t="s">
        <v>12</v>
      </c>
      <c r="F136" s="323">
        <v>9.1</v>
      </c>
      <c r="G136" s="323" t="s">
        <v>1279</v>
      </c>
      <c r="I136" s="353">
        <v>0.9</v>
      </c>
    </row>
    <row r="137" spans="2:9" s="323" customFormat="1" ht="15" x14ac:dyDescent="0.2">
      <c r="B137" s="323" t="s">
        <v>3</v>
      </c>
      <c r="C137" s="323" t="s">
        <v>46</v>
      </c>
      <c r="D137" s="323">
        <v>9</v>
      </c>
      <c r="E137" s="323" t="s">
        <v>12</v>
      </c>
      <c r="F137" s="323">
        <v>9.1</v>
      </c>
      <c r="G137" s="323" t="s">
        <v>1280</v>
      </c>
      <c r="I137" s="353">
        <v>0.9</v>
      </c>
    </row>
    <row r="138" spans="2:9" s="323" customFormat="1" ht="15" x14ac:dyDescent="0.2">
      <c r="B138" s="323" t="s">
        <v>3</v>
      </c>
      <c r="C138" s="323" t="s">
        <v>549</v>
      </c>
      <c r="D138" s="323">
        <v>9</v>
      </c>
      <c r="E138" s="323" t="s">
        <v>12</v>
      </c>
      <c r="F138" s="323">
        <v>9.1</v>
      </c>
      <c r="G138" s="323" t="s">
        <v>1279</v>
      </c>
      <c r="I138" s="353">
        <v>0.9</v>
      </c>
    </row>
    <row r="139" spans="2:9" s="323" customFormat="1" ht="15" x14ac:dyDescent="0.2">
      <c r="B139" s="323" t="s">
        <v>3</v>
      </c>
      <c r="C139" s="323" t="s">
        <v>549</v>
      </c>
      <c r="D139" s="323">
        <v>9</v>
      </c>
      <c r="E139" s="323" t="s">
        <v>12</v>
      </c>
      <c r="F139" s="323">
        <v>9.1</v>
      </c>
      <c r="G139" s="323" t="s">
        <v>1280</v>
      </c>
      <c r="I139" s="353">
        <v>0.9</v>
      </c>
    </row>
    <row r="140" spans="2:9" s="323" customFormat="1" ht="15" x14ac:dyDescent="0.2">
      <c r="B140" s="323" t="s">
        <v>3</v>
      </c>
      <c r="C140" s="323" t="s">
        <v>58</v>
      </c>
      <c r="D140" s="323">
        <v>9</v>
      </c>
      <c r="E140" s="323" t="s">
        <v>12</v>
      </c>
      <c r="F140" s="323">
        <v>9.1</v>
      </c>
      <c r="G140" s="323" t="s">
        <v>1279</v>
      </c>
      <c r="I140" s="353">
        <v>0.9</v>
      </c>
    </row>
    <row r="141" spans="2:9" s="323" customFormat="1" ht="15" x14ac:dyDescent="0.2">
      <c r="B141" s="323" t="s">
        <v>3</v>
      </c>
      <c r="C141" s="323" t="s">
        <v>58</v>
      </c>
      <c r="D141" s="323">
        <v>9</v>
      </c>
      <c r="E141" s="323" t="s">
        <v>12</v>
      </c>
      <c r="F141" s="323">
        <v>9.1</v>
      </c>
      <c r="G141" s="323" t="s">
        <v>1280</v>
      </c>
      <c r="I141" s="353">
        <v>0.9</v>
      </c>
    </row>
    <row r="142" spans="2:9" s="323" customFormat="1" ht="14.45" customHeight="1" x14ac:dyDescent="0.2">
      <c r="B142" s="323" t="s">
        <v>3</v>
      </c>
      <c r="C142" s="323" t="s">
        <v>53</v>
      </c>
      <c r="D142" s="323">
        <f>D132</f>
        <v>9</v>
      </c>
      <c r="E142" s="323" t="s">
        <v>12</v>
      </c>
      <c r="F142" s="323">
        <f>F132</f>
        <v>9.1</v>
      </c>
      <c r="G142" s="323" t="str">
        <f>G132</f>
        <v>Rounding</v>
      </c>
      <c r="I142" s="353">
        <f>I132</f>
        <v>0.9</v>
      </c>
    </row>
    <row r="143" spans="2:9" s="323" customFormat="1" ht="14.45" customHeight="1" x14ac:dyDescent="0.2">
      <c r="B143" s="323" t="s">
        <v>3</v>
      </c>
      <c r="C143" s="323" t="s">
        <v>57</v>
      </c>
      <c r="D143" s="323">
        <f t="shared" ref="D143:D147" si="15">D142</f>
        <v>9</v>
      </c>
      <c r="E143" s="323" t="s">
        <v>12</v>
      </c>
      <c r="F143" s="323">
        <f t="shared" ref="F143:F147" si="16">F142</f>
        <v>9.1</v>
      </c>
      <c r="G143" s="323" t="str">
        <f t="shared" ref="G143:G147" si="17">G142</f>
        <v>Rounding</v>
      </c>
      <c r="I143" s="353">
        <f t="shared" ref="I143:I147" si="18">I142</f>
        <v>0.9</v>
      </c>
    </row>
    <row r="144" spans="2:9" s="323" customFormat="1" ht="14.45" customHeight="1" x14ac:dyDescent="0.2">
      <c r="B144" s="323" t="s">
        <v>3</v>
      </c>
      <c r="C144" s="323" t="s">
        <v>57</v>
      </c>
      <c r="D144" s="323">
        <v>9</v>
      </c>
      <c r="E144" s="323" t="s">
        <v>12</v>
      </c>
      <c r="F144" s="323">
        <v>9.1</v>
      </c>
      <c r="G144" s="323" t="s">
        <v>1280</v>
      </c>
      <c r="I144" s="353">
        <v>0.9</v>
      </c>
    </row>
    <row r="145" spans="1:9" s="323" customFormat="1" ht="14.45" customHeight="1" x14ac:dyDescent="0.2">
      <c r="B145" s="323" t="s">
        <v>3</v>
      </c>
      <c r="C145" s="323" t="s">
        <v>52</v>
      </c>
      <c r="D145" s="323">
        <v>9</v>
      </c>
      <c r="E145" s="323" t="s">
        <v>12</v>
      </c>
      <c r="F145" s="323">
        <v>9.1</v>
      </c>
      <c r="G145" s="323" t="s">
        <v>1280</v>
      </c>
      <c r="I145" s="353">
        <v>0.9</v>
      </c>
    </row>
    <row r="146" spans="1:9" s="323" customFormat="1" ht="14.45" customHeight="1" x14ac:dyDescent="0.2">
      <c r="B146" s="323" t="s">
        <v>3</v>
      </c>
      <c r="C146" s="323" t="s">
        <v>54</v>
      </c>
      <c r="D146" s="323">
        <f>D143</f>
        <v>9</v>
      </c>
      <c r="E146" s="323" t="s">
        <v>12</v>
      </c>
      <c r="F146" s="323">
        <f>F143</f>
        <v>9.1</v>
      </c>
      <c r="G146" s="323" t="str">
        <f>Pediatrics!D20</f>
        <v>Aidet Validation</v>
      </c>
      <c r="I146" s="353">
        <f>Pediatrics!E20</f>
        <v>0.9</v>
      </c>
    </row>
    <row r="147" spans="1:9" s="323" customFormat="1" ht="14.45" customHeight="1" x14ac:dyDescent="0.2">
      <c r="B147" s="323" t="s">
        <v>3</v>
      </c>
      <c r="C147" s="323" t="s">
        <v>55</v>
      </c>
      <c r="D147" s="323">
        <f t="shared" si="15"/>
        <v>9</v>
      </c>
      <c r="E147" s="323" t="s">
        <v>12</v>
      </c>
      <c r="F147" s="323">
        <f t="shared" si="16"/>
        <v>9.1</v>
      </c>
      <c r="G147" s="323" t="str">
        <f t="shared" si="17"/>
        <v>Aidet Validation</v>
      </c>
      <c r="I147" s="353">
        <f t="shared" si="18"/>
        <v>0.9</v>
      </c>
    </row>
    <row r="148" spans="1:9" s="323" customFormat="1" ht="14.45" customHeight="1" x14ac:dyDescent="0.2">
      <c r="B148" s="323" t="s">
        <v>3</v>
      </c>
      <c r="C148" s="323" t="s">
        <v>55</v>
      </c>
      <c r="D148" s="323">
        <v>9</v>
      </c>
      <c r="E148" s="323" t="s">
        <v>12</v>
      </c>
      <c r="F148" s="323">
        <v>9.1</v>
      </c>
      <c r="G148" s="323" t="s">
        <v>1280</v>
      </c>
      <c r="I148" s="353">
        <v>0.9</v>
      </c>
    </row>
    <row r="149" spans="1:9" s="323" customFormat="1" ht="14.45" customHeight="1" x14ac:dyDescent="0.2">
      <c r="B149" s="323" t="s">
        <v>3</v>
      </c>
      <c r="C149" s="323" t="s">
        <v>56</v>
      </c>
      <c r="D149" s="323">
        <f>D147</f>
        <v>9</v>
      </c>
      <c r="E149" s="323" t="s">
        <v>12</v>
      </c>
      <c r="F149" s="323">
        <f>F147</f>
        <v>9.1</v>
      </c>
      <c r="G149" s="323" t="s">
        <v>1279</v>
      </c>
      <c r="I149" s="353">
        <f>I147</f>
        <v>0.9</v>
      </c>
    </row>
    <row r="150" spans="1:9" s="756" customFormat="1" ht="14.45" customHeight="1" x14ac:dyDescent="0.2">
      <c r="A150" s="323"/>
      <c r="B150" s="323" t="s">
        <v>3</v>
      </c>
      <c r="C150" s="323" t="s">
        <v>56</v>
      </c>
      <c r="D150" s="323">
        <v>9</v>
      </c>
      <c r="E150" s="323" t="s">
        <v>12</v>
      </c>
      <c r="F150" s="323">
        <v>9.1</v>
      </c>
      <c r="G150" s="323" t="s">
        <v>1280</v>
      </c>
      <c r="H150" s="323"/>
      <c r="I150" s="353">
        <v>0.9</v>
      </c>
    </row>
    <row r="151" spans="1:9" s="326" customFormat="1" ht="15" x14ac:dyDescent="0.25">
      <c r="A151" s="310">
        <v>4</v>
      </c>
      <c r="B151" s="309" t="s">
        <v>3</v>
      </c>
      <c r="C151" s="309" t="s">
        <v>492</v>
      </c>
      <c r="D151" s="309">
        <v>10</v>
      </c>
      <c r="E151" s="309" t="s">
        <v>360</v>
      </c>
      <c r="F151" s="333">
        <v>10.4</v>
      </c>
      <c r="G151" s="310" t="s">
        <v>1278</v>
      </c>
      <c r="H151" s="331"/>
      <c r="I151" s="336">
        <v>0.51</v>
      </c>
    </row>
    <row r="152" spans="1:9" s="756" customFormat="1" ht="14.45" customHeight="1" x14ac:dyDescent="0.2">
      <c r="A152" s="323"/>
      <c r="B152" s="323" t="s">
        <v>3</v>
      </c>
      <c r="C152" s="323" t="s">
        <v>54</v>
      </c>
      <c r="D152" s="323">
        <v>10</v>
      </c>
      <c r="E152" s="323" t="s">
        <v>360</v>
      </c>
      <c r="F152" s="323">
        <v>10.4</v>
      </c>
      <c r="G152" s="323" t="s">
        <v>1278</v>
      </c>
      <c r="H152" s="323"/>
      <c r="I152" s="406">
        <v>0.51</v>
      </c>
    </row>
    <row r="153" spans="1:9" s="756" customFormat="1" ht="14.45" customHeight="1" x14ac:dyDescent="0.2">
      <c r="A153" s="323"/>
      <c r="B153" s="323" t="s">
        <v>3</v>
      </c>
      <c r="C153" s="323" t="s">
        <v>410</v>
      </c>
      <c r="D153" s="323">
        <v>10</v>
      </c>
      <c r="E153" s="323" t="s">
        <v>360</v>
      </c>
      <c r="F153" s="323">
        <v>10.4</v>
      </c>
      <c r="G153" s="323" t="s">
        <v>1278</v>
      </c>
      <c r="H153" s="323"/>
      <c r="I153" s="406">
        <v>0.51</v>
      </c>
    </row>
    <row r="154" spans="1:9" s="756" customFormat="1" ht="14.45" customHeight="1" x14ac:dyDescent="0.2">
      <c r="A154" s="323"/>
      <c r="B154" s="323" t="s">
        <v>3</v>
      </c>
      <c r="C154" s="323" t="s">
        <v>43</v>
      </c>
      <c r="D154" s="323">
        <v>10</v>
      </c>
      <c r="E154" s="323" t="s">
        <v>360</v>
      </c>
      <c r="F154" s="323">
        <v>10.4</v>
      </c>
      <c r="G154" s="323" t="s">
        <v>1278</v>
      </c>
      <c r="H154" s="323"/>
      <c r="I154" s="406">
        <v>0.51</v>
      </c>
    </row>
    <row r="155" spans="1:9" s="756" customFormat="1" ht="14.45" customHeight="1" x14ac:dyDescent="0.2">
      <c r="A155" s="323"/>
      <c r="B155" s="323" t="s">
        <v>3</v>
      </c>
      <c r="C155" s="323" t="s">
        <v>46</v>
      </c>
      <c r="D155" s="323">
        <v>10</v>
      </c>
      <c r="E155" s="323" t="s">
        <v>360</v>
      </c>
      <c r="F155" s="323">
        <v>10.4</v>
      </c>
      <c r="G155" s="323" t="s">
        <v>1278</v>
      </c>
      <c r="H155" s="323"/>
      <c r="I155" s="406">
        <v>0.51</v>
      </c>
    </row>
    <row r="156" spans="1:9" s="756" customFormat="1" ht="14.45" customHeight="1" x14ac:dyDescent="0.2">
      <c r="A156" s="323"/>
      <c r="B156" s="323" t="s">
        <v>3</v>
      </c>
      <c r="C156" s="323" t="s">
        <v>56</v>
      </c>
      <c r="D156" s="323">
        <v>10</v>
      </c>
      <c r="E156" s="323" t="s">
        <v>360</v>
      </c>
      <c r="F156" s="323">
        <v>10.4</v>
      </c>
      <c r="G156" s="323" t="s">
        <v>1278</v>
      </c>
      <c r="H156" s="323"/>
      <c r="I156" s="406">
        <v>0.51</v>
      </c>
    </row>
    <row r="157" spans="1:9" s="756" customFormat="1" ht="14.45" customHeight="1" x14ac:dyDescent="0.2">
      <c r="A157" s="323"/>
      <c r="B157" s="323" t="s">
        <v>3</v>
      </c>
      <c r="C157" s="323" t="s">
        <v>549</v>
      </c>
      <c r="D157" s="323">
        <v>10</v>
      </c>
      <c r="E157" s="323" t="s">
        <v>360</v>
      </c>
      <c r="F157" s="323">
        <v>10.4</v>
      </c>
      <c r="G157" s="323" t="s">
        <v>1278</v>
      </c>
      <c r="H157" s="323"/>
      <c r="I157" s="406">
        <v>0.51</v>
      </c>
    </row>
    <row r="158" spans="1:9" s="756" customFormat="1" ht="14.45" customHeight="1" x14ac:dyDescent="0.2">
      <c r="A158" s="323"/>
      <c r="B158" s="323" t="s">
        <v>3</v>
      </c>
      <c r="C158" s="323" t="s">
        <v>57</v>
      </c>
      <c r="D158" s="323">
        <v>10</v>
      </c>
      <c r="E158" s="323" t="s">
        <v>360</v>
      </c>
      <c r="F158" s="323">
        <v>10.4</v>
      </c>
      <c r="G158" s="323" t="s">
        <v>1278</v>
      </c>
      <c r="H158" s="323"/>
      <c r="I158" s="406">
        <v>0.51</v>
      </c>
    </row>
    <row r="159" spans="1:9" s="756" customFormat="1" ht="14.45" customHeight="1" x14ac:dyDescent="0.2">
      <c r="A159" s="323"/>
      <c r="B159" s="323" t="s">
        <v>3</v>
      </c>
      <c r="C159" s="323" t="s">
        <v>52</v>
      </c>
      <c r="D159" s="323">
        <v>10</v>
      </c>
      <c r="E159" s="323" t="s">
        <v>360</v>
      </c>
      <c r="F159" s="323">
        <v>10.4</v>
      </c>
      <c r="G159" s="323" t="s">
        <v>1278</v>
      </c>
      <c r="H159" s="323"/>
      <c r="I159" s="406">
        <v>0.51</v>
      </c>
    </row>
    <row r="160" spans="1:9" s="756" customFormat="1" ht="14.45" customHeight="1" x14ac:dyDescent="0.2">
      <c r="A160" s="323"/>
      <c r="B160" s="323" t="s">
        <v>3</v>
      </c>
      <c r="C160" s="323" t="s">
        <v>50</v>
      </c>
      <c r="D160" s="323">
        <v>10</v>
      </c>
      <c r="E160" s="323" t="s">
        <v>360</v>
      </c>
      <c r="F160" s="323">
        <v>10.4</v>
      </c>
      <c r="G160" s="323" t="s">
        <v>1278</v>
      </c>
      <c r="H160" s="323"/>
      <c r="I160" s="406">
        <v>0.51</v>
      </c>
    </row>
    <row r="161" spans="1:9" s="756" customFormat="1" ht="14.45" customHeight="1" x14ac:dyDescent="0.2">
      <c r="A161" s="323"/>
      <c r="B161" s="323" t="s">
        <v>3</v>
      </c>
      <c r="C161" s="323" t="s">
        <v>45</v>
      </c>
      <c r="D161" s="323">
        <v>10</v>
      </c>
      <c r="E161" s="323" t="s">
        <v>360</v>
      </c>
      <c r="F161" s="323">
        <v>10.4</v>
      </c>
      <c r="G161" s="323" t="s">
        <v>1278</v>
      </c>
      <c r="H161" s="323"/>
      <c r="I161" s="406">
        <v>0.51</v>
      </c>
    </row>
    <row r="162" spans="1:9" s="756" customFormat="1" ht="14.45" customHeight="1" x14ac:dyDescent="0.2">
      <c r="A162" s="323"/>
      <c r="B162" s="323" t="s">
        <v>3</v>
      </c>
      <c r="C162" s="323" t="s">
        <v>55</v>
      </c>
      <c r="D162" s="323">
        <v>10</v>
      </c>
      <c r="E162" s="323" t="s">
        <v>360</v>
      </c>
      <c r="F162" s="323">
        <v>10.4</v>
      </c>
      <c r="G162" s="323" t="s">
        <v>1278</v>
      </c>
      <c r="H162" s="323"/>
      <c r="I162" s="406">
        <v>0.51</v>
      </c>
    </row>
    <row r="163" spans="1:9" s="756" customFormat="1" ht="14.45" customHeight="1" x14ac:dyDescent="0.2">
      <c r="A163" s="323"/>
      <c r="B163" s="323" t="s">
        <v>3</v>
      </c>
      <c r="C163" s="323" t="s">
        <v>48</v>
      </c>
      <c r="D163" s="323">
        <v>10</v>
      </c>
      <c r="E163" s="323" t="s">
        <v>360</v>
      </c>
      <c r="F163" s="323">
        <v>10.4</v>
      </c>
      <c r="G163" s="323" t="s">
        <v>1278</v>
      </c>
      <c r="H163" s="323"/>
      <c r="I163" s="406">
        <v>0.51</v>
      </c>
    </row>
    <row r="164" spans="1:9" s="756" customFormat="1" ht="14.45" customHeight="1" x14ac:dyDescent="0.2">
      <c r="A164" s="323"/>
      <c r="B164" s="323" t="s">
        <v>3</v>
      </c>
      <c r="C164" s="323" t="s">
        <v>58</v>
      </c>
      <c r="D164" s="323">
        <v>10</v>
      </c>
      <c r="E164" s="323" t="s">
        <v>360</v>
      </c>
      <c r="F164" s="323">
        <v>10.4</v>
      </c>
      <c r="G164" s="323" t="s">
        <v>1278</v>
      </c>
      <c r="H164" s="323"/>
      <c r="I164" s="406">
        <v>0.51</v>
      </c>
    </row>
    <row r="165" spans="1:9" s="756" customFormat="1" ht="14.45" customHeight="1" x14ac:dyDescent="0.2">
      <c r="A165" s="323"/>
      <c r="B165" s="323" t="s">
        <v>3</v>
      </c>
      <c r="C165" s="323" t="s">
        <v>49</v>
      </c>
      <c r="D165" s="323">
        <v>10</v>
      </c>
      <c r="E165" s="323" t="s">
        <v>360</v>
      </c>
      <c r="F165" s="323">
        <v>10.4</v>
      </c>
      <c r="G165" s="323" t="s">
        <v>1278</v>
      </c>
      <c r="H165" s="323"/>
      <c r="I165" s="406">
        <v>0.51</v>
      </c>
    </row>
    <row r="166" spans="1:9" s="756" customFormat="1" ht="14.45" customHeight="1" x14ac:dyDescent="0.2">
      <c r="A166" s="323"/>
      <c r="B166" s="323" t="s">
        <v>3</v>
      </c>
      <c r="C166" s="323" t="s">
        <v>53</v>
      </c>
      <c r="D166" s="323">
        <v>10</v>
      </c>
      <c r="E166" s="323" t="s">
        <v>360</v>
      </c>
      <c r="F166" s="323">
        <v>10.4</v>
      </c>
      <c r="G166" s="323" t="s">
        <v>1278</v>
      </c>
      <c r="H166" s="323"/>
      <c r="I166" s="406">
        <v>0.51</v>
      </c>
    </row>
  </sheetData>
  <autoFilter ref="A7:BG166"/>
  <pageMargins left="0.7" right="0.7" top="0.75" bottom="0.75" header="0.3" footer="0.3"/>
  <pageSetup paperSize="5" scale="63" fitToHeight="0" orientation="landscape" r:id="rId1"/>
  <headerFoot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G1" sqref="G1:G1048576"/>
    </sheetView>
  </sheetViews>
  <sheetFormatPr defaultColWidth="8.7109375" defaultRowHeight="15" x14ac:dyDescent="0.25"/>
  <cols>
    <col min="1" max="1" width="35.140625" style="271" bestFit="1" customWidth="1"/>
    <col min="2" max="2" width="46.85546875" style="271" customWidth="1"/>
    <col min="3" max="16384" width="8.7109375" style="271"/>
  </cols>
  <sheetData>
    <row r="1" spans="1:2" x14ac:dyDescent="0.25">
      <c r="A1" s="269" t="s">
        <v>400</v>
      </c>
      <c r="B1" s="270" t="s">
        <v>401</v>
      </c>
    </row>
    <row r="2" spans="1:2" x14ac:dyDescent="0.25">
      <c r="A2" s="269" t="s">
        <v>402</v>
      </c>
      <c r="B2" s="270" t="s">
        <v>57</v>
      </c>
    </row>
    <row r="3" spans="1:2" x14ac:dyDescent="0.25">
      <c r="A3" s="269" t="s">
        <v>403</v>
      </c>
      <c r="B3" s="270" t="s">
        <v>57</v>
      </c>
    </row>
    <row r="4" spans="1:2" x14ac:dyDescent="0.25">
      <c r="A4" s="269" t="s">
        <v>404</v>
      </c>
      <c r="B4" s="270" t="s">
        <v>405</v>
      </c>
    </row>
    <row r="5" spans="1:2" x14ac:dyDescent="0.25">
      <c r="A5" s="269" t="s">
        <v>275</v>
      </c>
      <c r="B5" s="270" t="s">
        <v>405</v>
      </c>
    </row>
    <row r="6" spans="1:2" x14ac:dyDescent="0.25">
      <c r="A6" s="269" t="s">
        <v>406</v>
      </c>
      <c r="B6" s="270" t="s">
        <v>57</v>
      </c>
    </row>
    <row r="7" spans="1:2" x14ac:dyDescent="0.25">
      <c r="A7" s="269" t="s">
        <v>407</v>
      </c>
      <c r="B7" s="270" t="s">
        <v>408</v>
      </c>
    </row>
    <row r="8" spans="1:2" x14ac:dyDescent="0.25">
      <c r="A8" s="269" t="s">
        <v>409</v>
      </c>
      <c r="B8" s="270" t="s">
        <v>410</v>
      </c>
    </row>
    <row r="9" spans="1:2" x14ac:dyDescent="0.25">
      <c r="A9" s="269" t="s">
        <v>411</v>
      </c>
      <c r="B9" s="270" t="s">
        <v>408</v>
      </c>
    </row>
    <row r="10" spans="1:2" x14ac:dyDescent="0.25">
      <c r="A10" s="269" t="s">
        <v>412</v>
      </c>
      <c r="B10" s="270" t="s">
        <v>57</v>
      </c>
    </row>
    <row r="11" spans="1:2" x14ac:dyDescent="0.25">
      <c r="A11" s="269" t="s">
        <v>413</v>
      </c>
      <c r="B11" s="270" t="s">
        <v>57</v>
      </c>
    </row>
    <row r="12" spans="1:2" x14ac:dyDescent="0.25">
      <c r="A12" s="269" t="s">
        <v>414</v>
      </c>
      <c r="B12" s="270" t="s">
        <v>57</v>
      </c>
    </row>
    <row r="13" spans="1:2" x14ac:dyDescent="0.25">
      <c r="A13" s="269" t="s">
        <v>415</v>
      </c>
      <c r="B13" s="270" t="s">
        <v>416</v>
      </c>
    </row>
    <row r="14" spans="1:2" x14ac:dyDescent="0.25">
      <c r="A14" s="269" t="s">
        <v>417</v>
      </c>
      <c r="B14" s="270" t="s">
        <v>416</v>
      </c>
    </row>
    <row r="15" spans="1:2" x14ac:dyDescent="0.25">
      <c r="A15" s="269" t="s">
        <v>418</v>
      </c>
      <c r="B15" s="270" t="s">
        <v>416</v>
      </c>
    </row>
    <row r="16" spans="1:2" x14ac:dyDescent="0.25">
      <c r="A16" s="269" t="s">
        <v>419</v>
      </c>
      <c r="B16" s="269" t="s">
        <v>419</v>
      </c>
    </row>
    <row r="17" spans="1:2" x14ac:dyDescent="0.25">
      <c r="A17" s="269" t="s">
        <v>212</v>
      </c>
      <c r="B17" s="270" t="s">
        <v>57</v>
      </c>
    </row>
    <row r="18" spans="1:2" x14ac:dyDescent="0.25">
      <c r="A18" s="269" t="s">
        <v>420</v>
      </c>
      <c r="B18" s="270" t="s">
        <v>410</v>
      </c>
    </row>
    <row r="19" spans="1:2" x14ac:dyDescent="0.25">
      <c r="A19" s="269" t="s">
        <v>421</v>
      </c>
      <c r="B19" s="270" t="s">
        <v>410</v>
      </c>
    </row>
    <row r="20" spans="1:2" x14ac:dyDescent="0.25">
      <c r="A20" s="269" t="s">
        <v>422</v>
      </c>
      <c r="B20" s="270" t="s">
        <v>423</v>
      </c>
    </row>
    <row r="21" spans="1:2" x14ac:dyDescent="0.25">
      <c r="A21" s="269" t="s">
        <v>424</v>
      </c>
      <c r="B21" s="270" t="s">
        <v>410</v>
      </c>
    </row>
    <row r="22" spans="1:2" x14ac:dyDescent="0.25">
      <c r="A22" s="269" t="s">
        <v>425</v>
      </c>
      <c r="B22" s="270" t="s">
        <v>423</v>
      </c>
    </row>
    <row r="23" spans="1:2" x14ac:dyDescent="0.25">
      <c r="A23" s="269" t="s">
        <v>405</v>
      </c>
      <c r="B23" s="270" t="s">
        <v>405</v>
      </c>
    </row>
    <row r="24" spans="1:2" x14ac:dyDescent="0.25">
      <c r="A24" s="269" t="s">
        <v>426</v>
      </c>
      <c r="B24" s="270" t="s">
        <v>405</v>
      </c>
    </row>
    <row r="25" spans="1:2" x14ac:dyDescent="0.25">
      <c r="A25" s="269" t="s">
        <v>427</v>
      </c>
      <c r="B25" s="270" t="s">
        <v>405</v>
      </c>
    </row>
    <row r="26" spans="1:2" x14ac:dyDescent="0.25">
      <c r="A26" s="269" t="s">
        <v>428</v>
      </c>
      <c r="B26" s="270" t="s">
        <v>405</v>
      </c>
    </row>
    <row r="27" spans="1:2" x14ac:dyDescent="0.25">
      <c r="A27" s="269" t="s">
        <v>429</v>
      </c>
      <c r="B27" s="270" t="s">
        <v>405</v>
      </c>
    </row>
    <row r="28" spans="1:2" x14ac:dyDescent="0.25">
      <c r="A28" s="269" t="s">
        <v>430</v>
      </c>
      <c r="B28" s="270" t="s">
        <v>405</v>
      </c>
    </row>
    <row r="29" spans="1:2" x14ac:dyDescent="0.25">
      <c r="A29" s="269" t="s">
        <v>431</v>
      </c>
      <c r="B29" s="270" t="s">
        <v>405</v>
      </c>
    </row>
    <row r="30" spans="1:2" x14ac:dyDescent="0.25">
      <c r="A30" s="272" t="s">
        <v>432</v>
      </c>
      <c r="B30" s="270" t="s">
        <v>405</v>
      </c>
    </row>
    <row r="31" spans="1:2" x14ac:dyDescent="0.25">
      <c r="A31" s="269" t="s">
        <v>433</v>
      </c>
      <c r="B31" s="270" t="s">
        <v>405</v>
      </c>
    </row>
    <row r="32" spans="1:2" x14ac:dyDescent="0.25">
      <c r="A32" s="269" t="s">
        <v>434</v>
      </c>
      <c r="B32" s="270" t="s">
        <v>405</v>
      </c>
    </row>
    <row r="33" spans="1:2" x14ac:dyDescent="0.25">
      <c r="A33" s="269" t="s">
        <v>435</v>
      </c>
      <c r="B33" s="270" t="s">
        <v>405</v>
      </c>
    </row>
    <row r="34" spans="1:2" x14ac:dyDescent="0.25">
      <c r="A34" s="269" t="s">
        <v>436</v>
      </c>
      <c r="B34" s="270" t="s">
        <v>405</v>
      </c>
    </row>
    <row r="35" spans="1:2" x14ac:dyDescent="0.25">
      <c r="A35" s="269" t="s">
        <v>437</v>
      </c>
      <c r="B35" s="270" t="s">
        <v>405</v>
      </c>
    </row>
    <row r="36" spans="1:2" x14ac:dyDescent="0.25">
      <c r="A36" s="269" t="s">
        <v>438</v>
      </c>
      <c r="B36" s="270" t="s">
        <v>54</v>
      </c>
    </row>
    <row r="37" spans="1:2" x14ac:dyDescent="0.25">
      <c r="A37" s="269" t="s">
        <v>439</v>
      </c>
      <c r="B37" s="270" t="s">
        <v>54</v>
      </c>
    </row>
    <row r="38" spans="1:2" x14ac:dyDescent="0.25">
      <c r="A38" s="269" t="s">
        <v>440</v>
      </c>
      <c r="B38" s="270" t="s">
        <v>54</v>
      </c>
    </row>
    <row r="39" spans="1:2" x14ac:dyDescent="0.25">
      <c r="A39" s="269" t="s">
        <v>441</v>
      </c>
      <c r="B39" s="270" t="s">
        <v>54</v>
      </c>
    </row>
    <row r="40" spans="1:2" x14ac:dyDescent="0.25">
      <c r="A40" s="269" t="s">
        <v>49</v>
      </c>
      <c r="B40" s="270" t="s">
        <v>49</v>
      </c>
    </row>
    <row r="41" spans="1:2" x14ac:dyDescent="0.25">
      <c r="A41" s="269" t="s">
        <v>50</v>
      </c>
      <c r="B41" s="270" t="s">
        <v>50</v>
      </c>
    </row>
    <row r="42" spans="1:2" x14ac:dyDescent="0.25">
      <c r="A42" s="269" t="s">
        <v>442</v>
      </c>
      <c r="B42" s="270" t="s">
        <v>54</v>
      </c>
    </row>
    <row r="43" spans="1:2" x14ac:dyDescent="0.25">
      <c r="A43" s="269" t="s">
        <v>443</v>
      </c>
      <c r="B43" s="269" t="s">
        <v>419</v>
      </c>
    </row>
    <row r="44" spans="1:2" x14ac:dyDescent="0.25">
      <c r="A44" s="269" t="s">
        <v>444</v>
      </c>
      <c r="B44" s="270" t="s">
        <v>410</v>
      </c>
    </row>
    <row r="45" spans="1:2" x14ac:dyDescent="0.25">
      <c r="A45" s="269" t="s">
        <v>408</v>
      </c>
      <c r="B45" s="270" t="s">
        <v>408</v>
      </c>
    </row>
    <row r="46" spans="1:2" x14ac:dyDescent="0.25">
      <c r="A46" s="269" t="s">
        <v>445</v>
      </c>
      <c r="B46" s="270" t="s">
        <v>54</v>
      </c>
    </row>
    <row r="47" spans="1:2" x14ac:dyDescent="0.25">
      <c r="A47" s="269" t="s">
        <v>446</v>
      </c>
      <c r="B47" s="270" t="s">
        <v>408</v>
      </c>
    </row>
    <row r="48" spans="1:2" x14ac:dyDescent="0.25">
      <c r="A48" s="269" t="s">
        <v>447</v>
      </c>
      <c r="B48" s="270" t="s">
        <v>57</v>
      </c>
    </row>
    <row r="49" spans="1:2" x14ac:dyDescent="0.25">
      <c r="A49" s="269" t="s">
        <v>448</v>
      </c>
      <c r="B49" s="270" t="s">
        <v>54</v>
      </c>
    </row>
    <row r="50" spans="1:2" x14ac:dyDescent="0.25">
      <c r="A50" s="269" t="s">
        <v>449</v>
      </c>
      <c r="B50" s="270" t="s">
        <v>54</v>
      </c>
    </row>
    <row r="51" spans="1:2" x14ac:dyDescent="0.25">
      <c r="A51" s="269" t="s">
        <v>450</v>
      </c>
      <c r="B51" s="270" t="s">
        <v>54</v>
      </c>
    </row>
    <row r="52" spans="1:2" x14ac:dyDescent="0.25">
      <c r="A52" s="269" t="s">
        <v>451</v>
      </c>
      <c r="B52" s="270" t="s">
        <v>49</v>
      </c>
    </row>
    <row r="53" spans="1:2" x14ac:dyDescent="0.25">
      <c r="A53" s="269" t="s">
        <v>452</v>
      </c>
      <c r="B53" s="270" t="s">
        <v>50</v>
      </c>
    </row>
    <row r="54" spans="1:2" x14ac:dyDescent="0.25">
      <c r="A54" s="269" t="s">
        <v>453</v>
      </c>
      <c r="B54" s="270" t="s">
        <v>57</v>
      </c>
    </row>
    <row r="55" spans="1:2" x14ac:dyDescent="0.25">
      <c r="A55" s="269" t="s">
        <v>454</v>
      </c>
      <c r="B55" s="270" t="s">
        <v>54</v>
      </c>
    </row>
    <row r="56" spans="1:2" x14ac:dyDescent="0.25">
      <c r="A56" s="269" t="s">
        <v>455</v>
      </c>
      <c r="B56" s="270" t="s">
        <v>54</v>
      </c>
    </row>
    <row r="57" spans="1:2" x14ac:dyDescent="0.25">
      <c r="A57" s="269" t="s">
        <v>456</v>
      </c>
      <c r="B57" s="270" t="s">
        <v>54</v>
      </c>
    </row>
    <row r="58" spans="1:2" x14ac:dyDescent="0.25">
      <c r="A58" s="269" t="s">
        <v>457</v>
      </c>
      <c r="B58" s="270" t="s">
        <v>54</v>
      </c>
    </row>
    <row r="59" spans="1:2" x14ac:dyDescent="0.25">
      <c r="A59" s="269" t="s">
        <v>458</v>
      </c>
      <c r="B59" s="270" t="s">
        <v>57</v>
      </c>
    </row>
    <row r="60" spans="1:2" x14ac:dyDescent="0.25">
      <c r="A60" s="269" t="s">
        <v>265</v>
      </c>
      <c r="B60" s="270" t="s">
        <v>57</v>
      </c>
    </row>
    <row r="61" spans="1:2" x14ac:dyDescent="0.25">
      <c r="A61" s="269" t="s">
        <v>57</v>
      </c>
      <c r="B61" s="270" t="s">
        <v>57</v>
      </c>
    </row>
    <row r="62" spans="1:2" x14ac:dyDescent="0.25">
      <c r="A62" s="269" t="s">
        <v>459</v>
      </c>
      <c r="B62" s="270" t="s">
        <v>57</v>
      </c>
    </row>
    <row r="63" spans="1:2" x14ac:dyDescent="0.25">
      <c r="A63" s="269" t="s">
        <v>460</v>
      </c>
      <c r="B63" s="270" t="s">
        <v>57</v>
      </c>
    </row>
    <row r="64" spans="1:2" x14ac:dyDescent="0.25">
      <c r="A64" s="269" t="s">
        <v>461</v>
      </c>
      <c r="B64" s="270" t="s">
        <v>405</v>
      </c>
    </row>
    <row r="65" spans="1:2" x14ac:dyDescent="0.25">
      <c r="A65" s="269" t="s">
        <v>462</v>
      </c>
      <c r="B65" s="270" t="s">
        <v>57</v>
      </c>
    </row>
    <row r="66" spans="1:2" x14ac:dyDescent="0.25">
      <c r="A66" s="269" t="s">
        <v>463</v>
      </c>
      <c r="B66" s="270" t="s">
        <v>410</v>
      </c>
    </row>
    <row r="67" spans="1:2" x14ac:dyDescent="0.25">
      <c r="A67" s="269" t="s">
        <v>268</v>
      </c>
      <c r="B67" s="270" t="s">
        <v>57</v>
      </c>
    </row>
    <row r="68" spans="1:2" x14ac:dyDescent="0.25">
      <c r="A68" s="269" t="s">
        <v>280</v>
      </c>
      <c r="B68" s="270" t="s">
        <v>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3"/>
  <sheetViews>
    <sheetView zoomScaleNormal="100" workbookViewId="0">
      <pane xSplit="1" ySplit="2" topLeftCell="B30" activePane="bottomRight" state="frozen"/>
      <selection activeCell="B6" sqref="B6"/>
      <selection pane="topRight" activeCell="B6" sqref="B6"/>
      <selection pane="bottomLeft" activeCell="B6" sqref="B6"/>
      <selection pane="bottomRight" activeCell="F43" sqref="F43"/>
    </sheetView>
  </sheetViews>
  <sheetFormatPr defaultRowHeight="12.75" x14ac:dyDescent="0.2"/>
  <cols>
    <col min="1" max="1" width="41.5703125" bestFit="1" customWidth="1"/>
    <col min="2" max="2" width="10.140625" bestFit="1" customWidth="1"/>
    <col min="3" max="3" width="10.85546875" bestFit="1" customWidth="1"/>
    <col min="5" max="5" width="2.5703125" customWidth="1"/>
    <col min="6" max="6" width="8.85546875" style="2" bestFit="1" customWidth="1"/>
    <col min="7" max="7" width="10" style="2" customWidth="1"/>
    <col min="8" max="8" width="8.7109375" style="2"/>
    <col min="9" max="9" width="2.5703125" style="2" customWidth="1"/>
    <col min="10" max="11" width="9.140625" style="2" bestFit="1" customWidth="1"/>
    <col min="12" max="12" width="8.7109375" style="17"/>
    <col min="13" max="13" width="2.5703125" style="2" customWidth="1"/>
    <col min="14" max="14" width="8.85546875" style="2" bestFit="1" customWidth="1"/>
    <col min="15" max="15" width="8.140625" style="2" customWidth="1"/>
    <col min="16" max="16" width="8.5703125" style="2" bestFit="1" customWidth="1"/>
    <col min="17" max="17" width="2.5703125" style="2" customWidth="1"/>
    <col min="18" max="18" width="10.140625" style="2" bestFit="1" customWidth="1"/>
    <col min="19" max="19" width="11.140625" style="2" bestFit="1" customWidth="1"/>
    <col min="20" max="20" width="8.7109375" style="2"/>
    <col min="21" max="21" width="2.5703125" style="2" customWidth="1"/>
  </cols>
  <sheetData>
    <row r="1" spans="1:20" x14ac:dyDescent="0.2">
      <c r="A1" s="18" t="s">
        <v>154</v>
      </c>
      <c r="B1" s="854" t="s">
        <v>17</v>
      </c>
      <c r="C1" s="854"/>
      <c r="D1" s="854"/>
      <c r="F1" s="854" t="s">
        <v>313</v>
      </c>
      <c r="G1" s="854"/>
      <c r="H1" s="854"/>
      <c r="J1" s="854" t="s">
        <v>1355</v>
      </c>
      <c r="K1" s="854"/>
      <c r="L1" s="854"/>
      <c r="N1" s="854" t="s">
        <v>19</v>
      </c>
      <c r="O1" s="854"/>
      <c r="P1" s="854"/>
      <c r="R1" s="855" t="s">
        <v>37</v>
      </c>
      <c r="S1" s="855"/>
      <c r="T1" s="855"/>
    </row>
    <row r="2" spans="1:20" s="2" customFormat="1" ht="63.75" x14ac:dyDescent="0.2">
      <c r="B2" s="12" t="s">
        <v>614</v>
      </c>
      <c r="C2" s="12" t="s">
        <v>613</v>
      </c>
      <c r="D2" s="12" t="s">
        <v>36</v>
      </c>
      <c r="F2" s="12" t="s">
        <v>614</v>
      </c>
      <c r="G2" s="12" t="s">
        <v>613</v>
      </c>
      <c r="H2" s="12" t="s">
        <v>36</v>
      </c>
      <c r="J2" s="12" t="s">
        <v>1354</v>
      </c>
      <c r="K2" s="12" t="s">
        <v>613</v>
      </c>
      <c r="L2" s="828" t="s">
        <v>36</v>
      </c>
      <c r="N2" s="12" t="s">
        <v>614</v>
      </c>
      <c r="O2" s="12" t="s">
        <v>613</v>
      </c>
      <c r="P2" s="12" t="s">
        <v>36</v>
      </c>
      <c r="R2" s="12" t="s">
        <v>614</v>
      </c>
      <c r="S2" s="12" t="s">
        <v>613</v>
      </c>
      <c r="T2" s="12" t="s">
        <v>36</v>
      </c>
    </row>
    <row r="3" spans="1:20" s="2" customFormat="1" x14ac:dyDescent="0.2">
      <c r="A3" s="11" t="s">
        <v>34</v>
      </c>
      <c r="F3" s="857"/>
      <c r="G3" s="857"/>
      <c r="H3" s="857"/>
      <c r="J3" s="10"/>
      <c r="K3" s="9"/>
      <c r="L3" s="43"/>
    </row>
    <row r="4" spans="1:20" s="18" customFormat="1" x14ac:dyDescent="0.2">
      <c r="A4" s="18" t="s">
        <v>30</v>
      </c>
      <c r="B4" s="19">
        <f>SUM(B5:B7)</f>
        <v>882967.5</v>
      </c>
      <c r="C4" s="19">
        <f>SUM(C5:C7)</f>
        <v>914589.99679999985</v>
      </c>
      <c r="D4" s="20">
        <f>IF(B4&gt;0,(C4-B4)/B4,0)</f>
        <v>3.5813885335530295E-2</v>
      </c>
      <c r="F4" s="464">
        <f>(44850.62+4732.8)/(22538+2958)</f>
        <v>1.9447529024160655</v>
      </c>
      <c r="G4" s="299">
        <f>(50052.6+4932.8)/(24180+3083)</f>
        <v>2.0168506767413712</v>
      </c>
      <c r="H4" s="20">
        <f>IF(F4&gt;0,(G4-F4)/F4,0)</f>
        <v>3.7072974276441496E-2</v>
      </c>
      <c r="J4" s="19">
        <f>SUM(J5:J7)</f>
        <v>44585</v>
      </c>
      <c r="K4" s="19">
        <f>SUM(K5:K7)</f>
        <v>45843.542027653806</v>
      </c>
      <c r="L4" s="20">
        <f>IF(J4&gt;0,(K4-J4)/J4,0)</f>
        <v>2.8227924809999017E-2</v>
      </c>
      <c r="N4" s="19">
        <f>SUM(N5:N7)</f>
        <v>23367</v>
      </c>
      <c r="O4" s="19">
        <f>SUM(O5:O7)</f>
        <v>24324</v>
      </c>
      <c r="P4" s="20">
        <f>IF(N4&gt;0,(O4-N4)/N4,0)</f>
        <v>4.0955193221209399E-2</v>
      </c>
      <c r="R4" s="19">
        <f>SUM(R5:R7)</f>
        <v>3257385.3900000006</v>
      </c>
      <c r="S4" s="19">
        <f>SUM(S5:S7)</f>
        <v>3386082.0300000003</v>
      </c>
      <c r="T4" s="20">
        <f>IF(R4&gt;0,(S4-R4)/R4,0)</f>
        <v>3.9509184389139675E-2</v>
      </c>
    </row>
    <row r="5" spans="1:20" x14ac:dyDescent="0.2">
      <c r="A5" s="3" t="s">
        <v>31</v>
      </c>
      <c r="B5" s="24">
        <f>B11+B14+B16+B19+B20+B23+B26+B28+B32+B36+B40+B43+B46+B47+B51+B54+B56+B65</f>
        <v>781297.5</v>
      </c>
      <c r="C5" s="24">
        <f>C11+C14+C16+C19+C20+C23+C26+C28+C32+C36+C40+C43+C46+C47+C51+C54+C56+C65</f>
        <v>807026.99679999985</v>
      </c>
      <c r="D5" s="17">
        <f>IF(B5&gt;0,(C5-B5)/B5,0)</f>
        <v>3.2931753653377679E-2</v>
      </c>
      <c r="F5" s="274">
        <v>1.99</v>
      </c>
      <c r="G5" s="274">
        <v>2.0699999999999998</v>
      </c>
      <c r="H5" s="17">
        <f>IF(F5&gt;0,(G5-F5)/F5,0)</f>
        <v>4.0201005025125552E-2</v>
      </c>
      <c r="J5" s="13">
        <v>39378</v>
      </c>
      <c r="K5" s="13">
        <v>40754.542027653806</v>
      </c>
      <c r="L5" s="17">
        <f>IF(J5&gt;0,(K5-J5)/J5,0)</f>
        <v>3.4957134127020319E-2</v>
      </c>
      <c r="N5" s="13">
        <v>19905</v>
      </c>
      <c r="O5" s="13">
        <v>20712</v>
      </c>
      <c r="P5" s="17">
        <f>IF(N5&gt;0,(O5-N5)/N5,0)</f>
        <v>4.0542577241899018E-2</v>
      </c>
      <c r="R5" s="13">
        <f>R11+R14+R16+R19+R23+R26+R28+R32+R36+R40+R43+R46+R51+R54+R56</f>
        <v>2906749.0000000005</v>
      </c>
      <c r="S5" s="13">
        <f>S11+S14+S16+S19+S23+S26+S28+S32+S36+S40+S43+S46+S51+S54+S56</f>
        <v>3034594.41</v>
      </c>
      <c r="T5" s="17">
        <f>IF(R5&gt;0,(S5-R5)/R5,0)</f>
        <v>4.3982266786709023E-2</v>
      </c>
    </row>
    <row r="6" spans="1:20" x14ac:dyDescent="0.2">
      <c r="A6" s="3" t="s">
        <v>32</v>
      </c>
      <c r="B6" s="24">
        <f>B12+B17+B21+B24+B29+B33+B37+B41+B48+B52+B55</f>
        <v>46450</v>
      </c>
      <c r="C6" s="24">
        <f>C12+C17+C21+C24+C29+C33+C37+C41+C48+C52+C55</f>
        <v>49929</v>
      </c>
      <c r="D6" s="17">
        <f>IF(B6&gt;0,(C6-B6)/B6,0)</f>
        <v>7.4897739504843922E-2</v>
      </c>
      <c r="F6" s="61">
        <v>1.6</v>
      </c>
      <c r="G6" s="61">
        <v>1.6</v>
      </c>
      <c r="H6" s="17">
        <f>IF(F6&gt;0,(G6-F6)/F6,0)</f>
        <v>0</v>
      </c>
      <c r="J6" s="13">
        <v>5207</v>
      </c>
      <c r="K6" s="13">
        <f>3083+2006</f>
        <v>5089</v>
      </c>
      <c r="L6" s="17">
        <f>IF(J6&gt;0,(K6-J6)/J6,0)</f>
        <v>-2.2661801421163818E-2</v>
      </c>
      <c r="N6" s="13">
        <v>3462</v>
      </c>
      <c r="O6" s="13">
        <v>3612</v>
      </c>
      <c r="P6" s="17">
        <f>IF(N6&gt;0,(O6-N6)/N6,0)</f>
        <v>4.3327556325823226E-2</v>
      </c>
      <c r="R6" s="13">
        <f>R12+R17+R21+R24+R29+R33+R37+R41+R48+R52+R55+R65</f>
        <v>350636.39</v>
      </c>
      <c r="S6" s="13">
        <f>S12+S17+S21+S24+S29+S33+S37+S41+S48+S52+S55+S65</f>
        <v>351487.62</v>
      </c>
      <c r="T6" s="17">
        <f>IF(R6&gt;0,(S6-R6)/R6,0)</f>
        <v>2.4276715830891978E-3</v>
      </c>
    </row>
    <row r="7" spans="1:20" x14ac:dyDescent="0.2">
      <c r="A7" s="3" t="s">
        <v>33</v>
      </c>
      <c r="B7" s="24">
        <f>B13+B25+B30+B34+B44+B38+B49</f>
        <v>55220</v>
      </c>
      <c r="C7" s="24">
        <f>C13+C25+C30+C34+C44+C38+C49</f>
        <v>57634</v>
      </c>
      <c r="D7" s="17">
        <f>IF(B7&gt;0,(C7-B7)/B7,0)</f>
        <v>4.3716044911264032E-2</v>
      </c>
      <c r="G7" s="9"/>
      <c r="H7" s="17">
        <f>IF(F7&gt;0,(G7-F7)/F7,0)</f>
        <v>0</v>
      </c>
      <c r="L7" s="17">
        <f>IF(J7&gt;0,(K7-J7)/J7,0)</f>
        <v>0</v>
      </c>
      <c r="P7" s="17">
        <f>IF(N7&gt;0,(O7-N7)/N7,0)</f>
        <v>0</v>
      </c>
      <c r="R7" s="13"/>
      <c r="S7" s="13"/>
      <c r="T7" s="17">
        <f>IF(R7&gt;0,(S7-R7)/R7,0)</f>
        <v>0</v>
      </c>
    </row>
    <row r="8" spans="1:20" x14ac:dyDescent="0.2">
      <c r="A8" s="16"/>
      <c r="C8" s="15"/>
      <c r="S8" s="826"/>
    </row>
    <row r="9" spans="1:20" x14ac:dyDescent="0.2">
      <c r="A9" s="11" t="s">
        <v>35</v>
      </c>
      <c r="C9" s="14"/>
      <c r="F9" s="856"/>
      <c r="G9" s="856"/>
      <c r="H9" s="856"/>
      <c r="J9" s="856"/>
      <c r="K9" s="856"/>
      <c r="L9" s="856"/>
    </row>
    <row r="10" spans="1:20" s="18" customFormat="1" x14ac:dyDescent="0.2">
      <c r="A10" s="18" t="s">
        <v>43</v>
      </c>
      <c r="B10" s="19">
        <f>SUM(B11:B12)</f>
        <v>0</v>
      </c>
      <c r="C10" s="19">
        <f>SUM(C11:C12)</f>
        <v>0</v>
      </c>
      <c r="D10" s="20">
        <f t="shared" ref="D10:D57" si="0">IF(B10&gt;0,(C10-B10)/B10,0)</f>
        <v>0</v>
      </c>
      <c r="J10" s="19">
        <f>J11+J12</f>
        <v>47.53</v>
      </c>
      <c r="K10" s="18">
        <f>K11+K12</f>
        <v>49</v>
      </c>
      <c r="L10" s="20">
        <f t="shared" ref="L10:L57" si="1">IF(J10&gt;0,(K10-J10)/J10,0)</f>
        <v>3.0927835051546369E-2</v>
      </c>
      <c r="N10" s="18">
        <f>SUM(N11:N12)</f>
        <v>125</v>
      </c>
      <c r="O10" s="18">
        <f>SUM(O11:O12)</f>
        <v>153</v>
      </c>
      <c r="P10" s="20">
        <f>IF(N10&gt;0,(O10-N10)/N10,0)</f>
        <v>0.224</v>
      </c>
      <c r="R10" s="19">
        <f>SUM(R11:R12)</f>
        <v>711708.50833333354</v>
      </c>
      <c r="S10" s="19">
        <f>SUM(S11:S12)</f>
        <v>744755.18000000017</v>
      </c>
      <c r="T10" s="20">
        <f t="shared" ref="T10:T33" si="2">IF(R10&gt;0,(S10-R10)/R10,0)</f>
        <v>4.6432874245180444E-2</v>
      </c>
    </row>
    <row r="11" spans="1:20" s="18" customFormat="1" x14ac:dyDescent="0.2">
      <c r="A11" s="3" t="s">
        <v>31</v>
      </c>
      <c r="B11" s="19"/>
      <c r="C11" s="19"/>
      <c r="D11" s="17">
        <f t="shared" si="0"/>
        <v>0</v>
      </c>
      <c r="J11" s="21">
        <f>K11-(K11*0.03)</f>
        <v>47.53</v>
      </c>
      <c r="K11" s="789">
        <v>49</v>
      </c>
      <c r="L11" s="22">
        <f t="shared" si="1"/>
        <v>3.0927835051546369E-2</v>
      </c>
      <c r="N11" s="3">
        <f>'UH Surgery'!AV383</f>
        <v>125</v>
      </c>
      <c r="O11" s="3">
        <f>'UH Surgery'!AX383</f>
        <v>153</v>
      </c>
      <c r="P11" s="22">
        <f>IF(N11&gt;0,(O11-N11)/N11,0)</f>
        <v>0.224</v>
      </c>
      <c r="R11" s="24">
        <f>'Growth wRVU''s'!I6</f>
        <v>604484.5850000002</v>
      </c>
      <c r="S11" s="24">
        <f>'Growth wRVU''s'!J6</f>
        <v>632171.18000000017</v>
      </c>
      <c r="T11" s="17">
        <f t="shared" si="2"/>
        <v>4.5801986828166948E-2</v>
      </c>
    </row>
    <row r="12" spans="1:20" s="18" customFormat="1" x14ac:dyDescent="0.2">
      <c r="A12" s="3" t="s">
        <v>32</v>
      </c>
      <c r="B12" s="19"/>
      <c r="C12" s="19"/>
      <c r="D12" s="17">
        <f t="shared" si="0"/>
        <v>0</v>
      </c>
      <c r="L12" s="22">
        <f t="shared" si="1"/>
        <v>0</v>
      </c>
      <c r="R12" s="24">
        <f>'Growth wRVU''s'!I116</f>
        <v>107223.92333333335</v>
      </c>
      <c r="S12" s="24">
        <f>'Growth wRVU''s'!J116</f>
        <v>112584</v>
      </c>
      <c r="T12" s="17">
        <f t="shared" si="2"/>
        <v>4.998955923300305E-2</v>
      </c>
    </row>
    <row r="13" spans="1:20" s="18" customFormat="1" x14ac:dyDescent="0.2">
      <c r="A13" s="18" t="s">
        <v>167</v>
      </c>
      <c r="B13" s="47">
        <f>'Growth by Clinic Detail'!B10</f>
        <v>21671</v>
      </c>
      <c r="C13" s="47">
        <f>'Growth by Clinic Detail'!C10</f>
        <v>22318</v>
      </c>
      <c r="D13" s="20">
        <f t="shared" si="0"/>
        <v>2.9855567348068848E-2</v>
      </c>
      <c r="L13" s="20">
        <f t="shared" si="1"/>
        <v>0</v>
      </c>
      <c r="N13" s="47">
        <f>'UH Surgery'!AV36</f>
        <v>195.95890410958904</v>
      </c>
      <c r="O13" s="18">
        <f>'UH Surgery'!AX36</f>
        <v>196</v>
      </c>
      <c r="P13" s="20">
        <f>IF(N13&gt;0,(O13-N13)/N13,0)</f>
        <v>2.0971688220901185E-4</v>
      </c>
    </row>
    <row r="14" spans="1:20" s="18" customFormat="1" x14ac:dyDescent="0.2">
      <c r="A14" s="18" t="s">
        <v>168</v>
      </c>
      <c r="B14" s="19">
        <f>'Growth by Clinic Detail'!B13</f>
        <v>16802</v>
      </c>
      <c r="C14" s="19">
        <f>'Growth by Clinic Detail'!C13</f>
        <v>16802</v>
      </c>
      <c r="D14" s="20">
        <f t="shared" si="0"/>
        <v>0</v>
      </c>
      <c r="L14" s="20">
        <f t="shared" si="1"/>
        <v>0</v>
      </c>
      <c r="N14" s="40">
        <f>'UH Surgery'!AV38</f>
        <v>51</v>
      </c>
      <c r="O14" s="18">
        <f>'UH Surgery'!AX38</f>
        <v>52</v>
      </c>
      <c r="P14" s="20">
        <f>IF(N14&gt;0,(O14-N14)/N14,0)</f>
        <v>1.9607843137254902E-2</v>
      </c>
      <c r="R14" s="47">
        <f>'Growth wRVU''s'!I7</f>
        <v>19566.010000000002</v>
      </c>
      <c r="S14" s="47">
        <f>'Growth wRVU''s'!J7</f>
        <v>22695</v>
      </c>
      <c r="T14" s="20">
        <f t="shared" si="2"/>
        <v>0.15991967703175036</v>
      </c>
    </row>
    <row r="15" spans="1:20" s="18" customFormat="1" x14ac:dyDescent="0.2">
      <c r="A15" s="18" t="s">
        <v>46</v>
      </c>
      <c r="B15" s="19">
        <f>SUM(B16:B17)</f>
        <v>0</v>
      </c>
      <c r="C15" s="19">
        <f>SUM(C16:C17)</f>
        <v>0</v>
      </c>
      <c r="D15" s="20">
        <f t="shared" si="0"/>
        <v>0</v>
      </c>
      <c r="J15" s="19">
        <f>J16+J17</f>
        <v>959.63</v>
      </c>
      <c r="K15" s="19">
        <f>K16+K17</f>
        <v>966.5</v>
      </c>
      <c r="L15" s="20">
        <f t="shared" si="1"/>
        <v>7.1590092014630685E-3</v>
      </c>
      <c r="R15" s="19">
        <f>SUM(R16:R17)</f>
        <v>291097.14333333331</v>
      </c>
      <c r="S15" s="19">
        <f>SUM(S16:S17)</f>
        <v>292177</v>
      </c>
      <c r="T15" s="20">
        <f t="shared" si="2"/>
        <v>3.7096092881617601E-3</v>
      </c>
    </row>
    <row r="16" spans="1:20" s="18" customFormat="1" x14ac:dyDescent="0.2">
      <c r="A16" s="3" t="s">
        <v>31</v>
      </c>
      <c r="B16" s="19"/>
      <c r="C16" s="19"/>
      <c r="D16" s="17">
        <f t="shared" si="0"/>
        <v>0</v>
      </c>
      <c r="J16" s="21">
        <f>K16-(K16*0.03)</f>
        <v>508.28</v>
      </c>
      <c r="K16" s="21">
        <v>524</v>
      </c>
      <c r="L16" s="22">
        <f t="shared" si="1"/>
        <v>3.0927835051546448E-2</v>
      </c>
      <c r="R16" s="21">
        <f>'Growth wRVU''s'!I8</f>
        <v>237390</v>
      </c>
      <c r="S16" s="21">
        <f>'Growth wRVU''s'!J8</f>
        <v>237390</v>
      </c>
      <c r="T16" s="17">
        <f t="shared" si="2"/>
        <v>0</v>
      </c>
    </row>
    <row r="17" spans="1:20" s="18" customFormat="1" x14ac:dyDescent="0.2">
      <c r="A17" s="3" t="s">
        <v>32</v>
      </c>
      <c r="B17" s="19"/>
      <c r="C17" s="19"/>
      <c r="D17" s="17">
        <f t="shared" si="0"/>
        <v>0</v>
      </c>
      <c r="J17" s="21">
        <f>K17+(K17*0.02)</f>
        <v>451.35</v>
      </c>
      <c r="K17" s="21">
        <v>442.5</v>
      </c>
      <c r="L17" s="22">
        <f t="shared" si="1"/>
        <v>-1.960784313725495E-2</v>
      </c>
      <c r="R17" s="24">
        <f>'Growth wRVU''s'!I117</f>
        <v>53707.143333333326</v>
      </c>
      <c r="S17" s="24">
        <f>'Growth wRVU''s'!J117</f>
        <v>54787</v>
      </c>
      <c r="T17" s="17">
        <f t="shared" si="2"/>
        <v>2.01063880825786E-2</v>
      </c>
    </row>
    <row r="18" spans="1:20" s="18" customFormat="1" x14ac:dyDescent="0.2">
      <c r="A18" s="18" t="s">
        <v>47</v>
      </c>
      <c r="B18" s="19">
        <f>SUM(B19:B21)</f>
        <v>137198</v>
      </c>
      <c r="C18" s="19">
        <f>SUM(C19:C21)</f>
        <v>146740.99959999998</v>
      </c>
      <c r="D18" s="20">
        <f t="shared" si="0"/>
        <v>6.9556404612311995E-2</v>
      </c>
      <c r="J18" s="827">
        <f>SUM(J19:J21)</f>
        <v>5173.01</v>
      </c>
      <c r="K18" s="827">
        <f>SUM(K19:K21)</f>
        <v>5333</v>
      </c>
      <c r="L18" s="20">
        <f t="shared" si="1"/>
        <v>3.0927835051546348E-2</v>
      </c>
      <c r="R18" s="19">
        <f>SUM(R19:R21)</f>
        <v>124751.10999999999</v>
      </c>
      <c r="S18" s="19">
        <f>SUM(S19:S21)</f>
        <v>128696</v>
      </c>
      <c r="T18" s="20">
        <f t="shared" si="2"/>
        <v>3.1622083362625106E-2</v>
      </c>
    </row>
    <row r="19" spans="1:20" s="2" customFormat="1" x14ac:dyDescent="0.2">
      <c r="A19" s="3" t="s">
        <v>31</v>
      </c>
      <c r="B19" s="13">
        <f>'Growth by Clinic Detail'!B23</f>
        <v>123062</v>
      </c>
      <c r="C19" s="13">
        <f>'Growth by Clinic Detail'!C23</f>
        <v>129779.9996</v>
      </c>
      <c r="D19" s="17">
        <f t="shared" si="0"/>
        <v>5.4590365831857078E-2</v>
      </c>
      <c r="F19" s="275">
        <v>1.36</v>
      </c>
      <c r="G19" s="275">
        <f>F19*1.04</f>
        <v>1.4144000000000001</v>
      </c>
      <c r="H19" s="17">
        <f>IF(F19&gt;0,(G19-F19)/F19,0)</f>
        <v>0.04</v>
      </c>
      <c r="J19" s="21">
        <f>K19-(K19*0.03)</f>
        <v>5173.01</v>
      </c>
      <c r="K19" s="13">
        <v>5333</v>
      </c>
      <c r="L19" s="17">
        <f t="shared" si="1"/>
        <v>3.0927835051546348E-2</v>
      </c>
      <c r="R19" s="24">
        <f>'Growth wRVU''s'!I9</f>
        <v>114395.10999999999</v>
      </c>
      <c r="S19" s="24">
        <f>'Growth wRVU''s'!J9</f>
        <v>117169</v>
      </c>
      <c r="T19" s="17">
        <f t="shared" si="2"/>
        <v>2.424832669858016E-2</v>
      </c>
    </row>
    <row r="20" spans="1:20" s="2" customFormat="1" x14ac:dyDescent="0.2">
      <c r="A20" s="3" t="s">
        <v>471</v>
      </c>
      <c r="B20" s="13"/>
      <c r="C20" s="13"/>
      <c r="D20" s="17"/>
      <c r="F20" s="275">
        <v>1.18</v>
      </c>
      <c r="G20" s="275">
        <f>F20*1.04</f>
        <v>1.2272000000000001</v>
      </c>
      <c r="H20" s="17">
        <f>IF(F20&gt;0,(G20-F20)/F20,0)</f>
        <v>4.0000000000000112E-2</v>
      </c>
      <c r="L20" s="17">
        <f t="shared" si="1"/>
        <v>0</v>
      </c>
      <c r="R20" s="24"/>
      <c r="S20" s="24"/>
      <c r="T20" s="17"/>
    </row>
    <row r="21" spans="1:20" s="2" customFormat="1" x14ac:dyDescent="0.2">
      <c r="A21" s="3" t="s">
        <v>32</v>
      </c>
      <c r="B21" s="13">
        <f>'Growth by Clinic Detail'!B24</f>
        <v>14136</v>
      </c>
      <c r="C21" s="13">
        <f>'Growth by Clinic Detail'!C24</f>
        <v>16961</v>
      </c>
      <c r="D21" s="17">
        <f t="shared" si="0"/>
        <v>0.1998443689869836</v>
      </c>
      <c r="L21" s="17">
        <f t="shared" si="1"/>
        <v>0</v>
      </c>
      <c r="R21" s="24">
        <f>'Growth wRVU''s'!I118</f>
        <v>10356</v>
      </c>
      <c r="S21" s="24">
        <f>'Growth wRVU''s'!J118</f>
        <v>11527</v>
      </c>
      <c r="T21" s="17">
        <f t="shared" si="2"/>
        <v>0.11307454615681731</v>
      </c>
    </row>
    <row r="22" spans="1:20" s="18" customFormat="1" x14ac:dyDescent="0.2">
      <c r="A22" s="18" t="s">
        <v>48</v>
      </c>
      <c r="B22" s="19">
        <f>SUM(B23:B25)</f>
        <v>148595</v>
      </c>
      <c r="C22" s="19">
        <f>SUM(C23:C25)</f>
        <v>150732.99960000001</v>
      </c>
      <c r="D22" s="20">
        <f t="shared" si="0"/>
        <v>1.4388099195800735E-2</v>
      </c>
      <c r="J22" s="827">
        <f>SUM(J23:J25)</f>
        <v>13942.02</v>
      </c>
      <c r="K22" s="827">
        <f>SUM(K23:K25)</f>
        <v>14226</v>
      </c>
      <c r="L22" s="20">
        <f t="shared" si="1"/>
        <v>2.0368640986026382E-2</v>
      </c>
      <c r="N22" s="19">
        <f>SUM(N23:N25)</f>
        <v>0</v>
      </c>
      <c r="O22" s="19">
        <f>SUM(O23:O25)</f>
        <v>0</v>
      </c>
      <c r="P22" s="20">
        <f>IF(N22&gt;0,(O22-N22)/N22,0)</f>
        <v>0</v>
      </c>
      <c r="R22" s="19">
        <f>SUM(R23:R25)</f>
        <v>429402.78</v>
      </c>
      <c r="S22" s="19">
        <f>SUM(S23:S25)</f>
        <v>441665</v>
      </c>
      <c r="T22" s="20">
        <f t="shared" si="2"/>
        <v>2.8556452289386601E-2</v>
      </c>
    </row>
    <row r="23" spans="1:20" s="2" customFormat="1" x14ac:dyDescent="0.2">
      <c r="A23" s="3" t="s">
        <v>31</v>
      </c>
      <c r="B23" s="13">
        <f>'Growth by Clinic Detail'!B52</f>
        <v>117699</v>
      </c>
      <c r="C23" s="13">
        <f>'Growth by Clinic Detail'!C52</f>
        <v>119873.99960000001</v>
      </c>
      <c r="D23" s="17">
        <f t="shared" si="0"/>
        <v>1.8479337972285324E-2</v>
      </c>
      <c r="F23" s="275">
        <v>1.84</v>
      </c>
      <c r="G23" s="275">
        <f>F23*1.04</f>
        <v>1.9136000000000002</v>
      </c>
      <c r="H23" s="17">
        <f>IF(F23&gt;0,(G23-F23)/F23,0)</f>
        <v>4.0000000000000056E-2</v>
      </c>
      <c r="J23" s="21">
        <f>K23-(K23*0.03)</f>
        <v>11028.9</v>
      </c>
      <c r="K23" s="13">
        <v>11370</v>
      </c>
      <c r="L23" s="17">
        <f t="shared" si="1"/>
        <v>3.0927835051546424E-2</v>
      </c>
      <c r="N23" s="13"/>
      <c r="O23" s="13"/>
      <c r="P23" s="22">
        <f>IF(N23&gt;0,(O23-N23)/N23,0)</f>
        <v>0</v>
      </c>
      <c r="R23" s="24">
        <f>'Growth wRVU''s'!I42</f>
        <v>385379.78</v>
      </c>
      <c r="S23" s="24">
        <f>'Growth wRVU''s'!J42</f>
        <v>400048</v>
      </c>
      <c r="T23" s="17">
        <f t="shared" si="2"/>
        <v>3.8061727057916661E-2</v>
      </c>
    </row>
    <row r="24" spans="1:20" s="2" customFormat="1" x14ac:dyDescent="0.2">
      <c r="A24" s="3" t="s">
        <v>32</v>
      </c>
      <c r="B24" s="13">
        <f>'Growth by Clinic Detail'!B61</f>
        <v>10700</v>
      </c>
      <c r="C24" s="13">
        <f>'Growth by Clinic Detail'!C61</f>
        <v>10016</v>
      </c>
      <c r="D24" s="17">
        <f t="shared" si="0"/>
        <v>-6.3925233644859816E-2</v>
      </c>
      <c r="J24" s="21">
        <f>K24+(K24*0.02)</f>
        <v>2913.12</v>
      </c>
      <c r="K24" s="13">
        <v>2856</v>
      </c>
      <c r="L24" s="17">
        <f t="shared" si="1"/>
        <v>-1.9607843137254864E-2</v>
      </c>
      <c r="R24" s="24">
        <f>'Growth wRVU''s'!I128</f>
        <v>44023</v>
      </c>
      <c r="S24" s="24">
        <f>'Growth wRVU''s'!J128</f>
        <v>41617</v>
      </c>
      <c r="T24" s="17">
        <f t="shared" si="2"/>
        <v>-5.4653249437793879E-2</v>
      </c>
    </row>
    <row r="25" spans="1:20" s="2" customFormat="1" x14ac:dyDescent="0.2">
      <c r="A25" s="3" t="s">
        <v>33</v>
      </c>
      <c r="B25" s="24">
        <f>'Growth by Clinic Detail'!B64</f>
        <v>20196</v>
      </c>
      <c r="C25" s="24">
        <f>'Growth by Clinic Detail'!C64</f>
        <v>20843</v>
      </c>
      <c r="D25" s="17">
        <f t="shared" si="0"/>
        <v>3.2036046741929093E-2</v>
      </c>
      <c r="L25" s="17">
        <f t="shared" si="1"/>
        <v>0</v>
      </c>
      <c r="R25" s="13"/>
      <c r="S25" s="13"/>
    </row>
    <row r="26" spans="1:20" s="18" customFormat="1" x14ac:dyDescent="0.2">
      <c r="A26" s="18" t="s">
        <v>169</v>
      </c>
      <c r="B26" s="19">
        <f>'Growth by Clinic Detail'!B70</f>
        <v>13127</v>
      </c>
      <c r="C26" s="19">
        <f>'Growth by Clinic Detail'!C70</f>
        <v>15222</v>
      </c>
      <c r="D26" s="20">
        <f t="shared" si="0"/>
        <v>0.15959472842233566</v>
      </c>
      <c r="F26" s="276">
        <v>1.76</v>
      </c>
      <c r="G26" s="276">
        <f>F26*1.04</f>
        <v>1.8304</v>
      </c>
      <c r="H26" s="20">
        <f>IF(F26&gt;0,(G26-F26)/F26,0)</f>
        <v>4.0000000000000008E-2</v>
      </c>
      <c r="J26" s="19">
        <f>K26-(K26*0.03)</f>
        <v>1422.99</v>
      </c>
      <c r="K26" s="19">
        <v>1467</v>
      </c>
      <c r="L26" s="20">
        <f t="shared" si="1"/>
        <v>3.0927835051546386E-2</v>
      </c>
      <c r="N26" s="18">
        <f>'UH Surgery'!AV229</f>
        <v>31</v>
      </c>
      <c r="O26" s="18">
        <f>'UH Surgery'!AX229</f>
        <v>34</v>
      </c>
      <c r="P26" s="20">
        <f t="shared" ref="P26:P37" si="3">IF(N26&gt;0,(O26-N26)/N26,0)</f>
        <v>9.6774193548387094E-2</v>
      </c>
      <c r="R26" s="47">
        <f>'Growth wRVU''s'!I44</f>
        <v>72256.059999999983</v>
      </c>
      <c r="S26" s="47">
        <f>'Growth wRVU''s'!J44</f>
        <v>85903.799999999988</v>
      </c>
      <c r="T26" s="20">
        <f t="shared" si="2"/>
        <v>0.18888021295376484</v>
      </c>
    </row>
    <row r="27" spans="1:20" s="18" customFormat="1" x14ac:dyDescent="0.2">
      <c r="A27" s="18" t="s">
        <v>50</v>
      </c>
      <c r="B27" s="19">
        <f>SUM(B28:B30)</f>
        <v>24215</v>
      </c>
      <c r="C27" s="19">
        <f>SUM(C28:C30)</f>
        <v>17618</v>
      </c>
      <c r="D27" s="20">
        <f t="shared" si="0"/>
        <v>-0.27243444146190376</v>
      </c>
      <c r="J27" s="827">
        <f>SUM(J28:J30)</f>
        <v>1479.25</v>
      </c>
      <c r="K27" s="827">
        <f>SUM(K28:K30)</f>
        <v>1525</v>
      </c>
      <c r="L27" s="20">
        <f t="shared" si="1"/>
        <v>3.0927835051546393E-2</v>
      </c>
      <c r="N27" s="19">
        <f>SUM(N28:N29)</f>
        <v>1379.6520547945206</v>
      </c>
      <c r="O27" s="19">
        <f>SUM(O28:O29)</f>
        <v>1094</v>
      </c>
      <c r="P27" s="20">
        <f t="shared" si="3"/>
        <v>-0.2070464460961966</v>
      </c>
      <c r="R27" s="19">
        <f>SUM(R28:R30)</f>
        <v>78814.258333333331</v>
      </c>
      <c r="S27" s="19">
        <f>SUM(S28:S30)</f>
        <v>74431</v>
      </c>
      <c r="T27" s="20">
        <f t="shared" si="2"/>
        <v>-5.56150425827137E-2</v>
      </c>
    </row>
    <row r="28" spans="1:20" s="18" customFormat="1" x14ac:dyDescent="0.2">
      <c r="A28" s="3" t="s">
        <v>31</v>
      </c>
      <c r="B28" s="21">
        <f>'Growth by Clinic Detail'!B75</f>
        <v>19922</v>
      </c>
      <c r="C28" s="21">
        <f>'Growth by Clinic Detail'!C75</f>
        <v>16400</v>
      </c>
      <c r="D28" s="22">
        <f t="shared" si="0"/>
        <v>-0.17678947896797512</v>
      </c>
      <c r="F28" s="277">
        <v>3.17</v>
      </c>
      <c r="G28" s="275">
        <f>F28*1.04</f>
        <v>3.2968000000000002</v>
      </c>
      <c r="H28" s="22">
        <f>IF(F28&gt;0,(G28-F28)/F28,0)</f>
        <v>4.0000000000000077E-2</v>
      </c>
      <c r="J28" s="21">
        <f>K28-(K28*0.03)</f>
        <v>1479.25</v>
      </c>
      <c r="K28" s="13">
        <v>1525</v>
      </c>
      <c r="L28" s="22">
        <f t="shared" si="1"/>
        <v>3.0927835051546393E-2</v>
      </c>
      <c r="N28" s="23">
        <f>'UH Surgery'!AV225</f>
        <v>1140.6520547945206</v>
      </c>
      <c r="O28" s="21">
        <f>'UH Surgery'!AX225</f>
        <v>1094</v>
      </c>
      <c r="P28" s="22">
        <f t="shared" si="3"/>
        <v>-4.0899461495227489E-2</v>
      </c>
      <c r="R28" s="24">
        <f>'Growth wRVU''s'!I45</f>
        <v>72190</v>
      </c>
      <c r="S28" s="24">
        <f>'Growth wRVU''s'!J45</f>
        <v>73468</v>
      </c>
      <c r="T28" s="17">
        <f t="shared" si="2"/>
        <v>1.7703283003186038E-2</v>
      </c>
    </row>
    <row r="29" spans="1:20" s="18" customFormat="1" x14ac:dyDescent="0.2">
      <c r="A29" s="3" t="s">
        <v>32</v>
      </c>
      <c r="B29" s="21">
        <f>'Growth by Clinic Detail'!B76</f>
        <v>1756</v>
      </c>
      <c r="C29" s="21">
        <f>'Growth by Clinic Detail'!C76</f>
        <v>1218</v>
      </c>
      <c r="D29" s="22">
        <f t="shared" si="0"/>
        <v>-0.30637813211845105</v>
      </c>
      <c r="L29" s="20">
        <f t="shared" si="1"/>
        <v>0</v>
      </c>
      <c r="N29" s="23">
        <f>'SRMC Surgery'!BS52</f>
        <v>239</v>
      </c>
      <c r="O29" s="21">
        <f>'SRMC Surgery'!CB52</f>
        <v>0</v>
      </c>
      <c r="P29" s="22">
        <f t="shared" si="3"/>
        <v>-1</v>
      </c>
      <c r="R29" s="24">
        <f>'Growth wRVU''s'!I131</f>
        <v>6624.2583333333332</v>
      </c>
      <c r="S29" s="24">
        <f>'Growth wRVU''s'!J131</f>
        <v>963</v>
      </c>
      <c r="T29" s="17">
        <f t="shared" si="2"/>
        <v>-0.85462523477471064</v>
      </c>
    </row>
    <row r="30" spans="1:20" s="18" customFormat="1" x14ac:dyDescent="0.2">
      <c r="A30" s="3" t="s">
        <v>33</v>
      </c>
      <c r="B30" s="21">
        <f>'Growth by Clinic Detail'!B77</f>
        <v>2537</v>
      </c>
      <c r="C30" s="21">
        <f>'Growth by Clinic Detail'!C77</f>
        <v>0</v>
      </c>
      <c r="D30" s="22">
        <f t="shared" si="0"/>
        <v>-1</v>
      </c>
      <c r="L30" s="20">
        <f t="shared" si="1"/>
        <v>0</v>
      </c>
      <c r="N30" s="23"/>
      <c r="O30" s="21"/>
      <c r="P30" s="22"/>
      <c r="R30" s="24"/>
      <c r="S30" s="24"/>
      <c r="T30" s="17"/>
    </row>
    <row r="31" spans="1:20" s="18" customFormat="1" x14ac:dyDescent="0.2">
      <c r="A31" s="18" t="s">
        <v>51</v>
      </c>
      <c r="B31" s="19">
        <f>SUM(B32:B34)</f>
        <v>68645</v>
      </c>
      <c r="C31" s="19">
        <f>SUM(C32:C34)</f>
        <v>70880.998800000001</v>
      </c>
      <c r="D31" s="20">
        <f t="shared" si="0"/>
        <v>3.2573367324641285E-2</v>
      </c>
      <c r="J31" s="827">
        <f>SUM(J32:J34)</f>
        <v>3465.15</v>
      </c>
      <c r="K31" s="827">
        <f>SUM(K32:K34)</f>
        <v>3565</v>
      </c>
      <c r="L31" s="20">
        <f t="shared" si="1"/>
        <v>2.8815491392868969E-2</v>
      </c>
      <c r="N31" s="19">
        <f>SUM(N32:N34)</f>
        <v>1446.8794520547945</v>
      </c>
      <c r="O31" s="19">
        <f>SUM(O32:O34)</f>
        <v>1418</v>
      </c>
      <c r="P31" s="20">
        <f t="shared" si="3"/>
        <v>-1.9959819053191424E-2</v>
      </c>
      <c r="R31" s="19">
        <f>SUM(R32:R34)</f>
        <v>122062.66</v>
      </c>
      <c r="S31" s="19">
        <f>SUM(S32:S34)</f>
        <v>135831.59</v>
      </c>
      <c r="T31" s="20">
        <f t="shared" si="2"/>
        <v>0.11280214604531798</v>
      </c>
    </row>
    <row r="32" spans="1:20" s="2" customFormat="1" x14ac:dyDescent="0.2">
      <c r="A32" s="3" t="s">
        <v>31</v>
      </c>
      <c r="B32" s="13">
        <f>'Growth by Clinic Detail'!B86</f>
        <v>59751</v>
      </c>
      <c r="C32" s="13">
        <f>'Growth by Clinic Detail'!C86</f>
        <v>60338.998800000001</v>
      </c>
      <c r="D32" s="17">
        <f t="shared" si="0"/>
        <v>9.8408194005121449E-3</v>
      </c>
      <c r="F32" s="275">
        <v>0.93</v>
      </c>
      <c r="G32" s="275">
        <f>F32*1.04</f>
        <v>0.96720000000000006</v>
      </c>
      <c r="H32" s="22">
        <f>IF(F32&gt;0,(G32-F32)/F32,0)</f>
        <v>4.0000000000000008E-2</v>
      </c>
      <c r="J32" s="21">
        <f>K32-(K32*0.03)</f>
        <v>3320.31</v>
      </c>
      <c r="K32" s="13">
        <v>3423</v>
      </c>
      <c r="L32" s="22">
        <f t="shared" si="1"/>
        <v>3.092783505154641E-2</v>
      </c>
      <c r="N32" s="24">
        <f>'UH Surgery'!AV166+'UH Surgery'!AV269+'UH Surgery'!AV419</f>
        <v>1138.8794520547945</v>
      </c>
      <c r="O32" s="13">
        <f>'UH Surgery'!AX166+'UH Surgery'!AX269+'UH Surgery'!AX419</f>
        <v>1142</v>
      </c>
      <c r="P32" s="22">
        <f t="shared" si="3"/>
        <v>2.740016021516039E-3</v>
      </c>
      <c r="R32" s="24">
        <f>'Growth wRVU''s'!I46</f>
        <v>112106.97</v>
      </c>
      <c r="S32" s="24">
        <f>'Growth wRVU''s'!J46</f>
        <v>123332.08999999998</v>
      </c>
      <c r="T32" s="17">
        <f t="shared" si="2"/>
        <v>0.10012865390974335</v>
      </c>
    </row>
    <row r="33" spans="1:20" s="2" customFormat="1" x14ac:dyDescent="0.2">
      <c r="A33" s="3" t="s">
        <v>32</v>
      </c>
      <c r="B33" s="13">
        <f>'Growth by Clinic Detail'!B89</f>
        <v>3754</v>
      </c>
      <c r="C33" s="13">
        <f>'Growth by Clinic Detail'!C89</f>
        <v>4900</v>
      </c>
      <c r="D33" s="17">
        <f t="shared" si="0"/>
        <v>0.30527437400106555</v>
      </c>
      <c r="J33" s="21">
        <f>K33+(K33*0.02)</f>
        <v>144.84</v>
      </c>
      <c r="K33" s="2">
        <v>142</v>
      </c>
      <c r="L33" s="17">
        <f t="shared" si="1"/>
        <v>-1.9607843137254926E-2</v>
      </c>
      <c r="N33" s="734">
        <f>'SRMC Surgery'!BS39</f>
        <v>308</v>
      </c>
      <c r="O33" s="13">
        <f>'SRMC Surgery'!CB39</f>
        <v>276</v>
      </c>
      <c r="P33" s="22">
        <f t="shared" si="3"/>
        <v>-0.1038961038961039</v>
      </c>
      <c r="R33" s="24">
        <f>'Growth wRVU''s'!I132</f>
        <v>9955.69</v>
      </c>
      <c r="S33" s="24">
        <f>'Growth wRVU''s'!J132</f>
        <v>12499.500000000004</v>
      </c>
      <c r="T33" s="17">
        <f t="shared" si="2"/>
        <v>0.25551317889568709</v>
      </c>
    </row>
    <row r="34" spans="1:20" s="2" customFormat="1" x14ac:dyDescent="0.2">
      <c r="A34" s="3" t="s">
        <v>33</v>
      </c>
      <c r="B34" s="24">
        <f>'Growth by Clinic Detail'!B90</f>
        <v>5140</v>
      </c>
      <c r="C34" s="24">
        <f>'Growth by Clinic Detail'!C90</f>
        <v>5642</v>
      </c>
      <c r="D34" s="17">
        <f t="shared" si="0"/>
        <v>9.7665369649805447E-2</v>
      </c>
      <c r="L34" s="17">
        <f t="shared" si="1"/>
        <v>0</v>
      </c>
      <c r="R34" s="13"/>
      <c r="S34" s="13"/>
    </row>
    <row r="35" spans="1:20" s="18" customFormat="1" x14ac:dyDescent="0.2">
      <c r="A35" s="18" t="s">
        <v>52</v>
      </c>
      <c r="B35" s="19">
        <f>SUM(B36:B38)</f>
        <v>67871.5</v>
      </c>
      <c r="C35" s="19">
        <f>SUM(C36:C38)</f>
        <v>69289.5</v>
      </c>
      <c r="D35" s="20">
        <f t="shared" si="0"/>
        <v>2.0892421708670061E-2</v>
      </c>
      <c r="J35" s="827">
        <f>SUM(J36:J38)</f>
        <v>2494.91</v>
      </c>
      <c r="K35" s="827">
        <f>SUM(K36:K38)</f>
        <v>2518</v>
      </c>
      <c r="L35" s="20">
        <f t="shared" si="1"/>
        <v>9.2548428600631467E-3</v>
      </c>
      <c r="N35" s="19">
        <f>SUM(N36:N37)</f>
        <v>6849.3205479452045</v>
      </c>
      <c r="O35" s="19">
        <f>SUM(O36:O37)</f>
        <v>7283</v>
      </c>
      <c r="P35" s="20">
        <f t="shared" si="3"/>
        <v>6.3317149346280688E-2</v>
      </c>
      <c r="R35" s="19">
        <f>SUM(R36:R37)</f>
        <v>209241.02666666661</v>
      </c>
      <c r="S35" s="19">
        <f>SUM(S36:S37)</f>
        <v>212768.25</v>
      </c>
      <c r="T35" s="20">
        <f t="shared" ref="T35:T42" si="4">IF(R35&gt;0,(S35-R35)/R35,0)</f>
        <v>1.6857226278823714E-2</v>
      </c>
    </row>
    <row r="36" spans="1:20" s="2" customFormat="1" x14ac:dyDescent="0.2">
      <c r="A36" s="3" t="s">
        <v>31</v>
      </c>
      <c r="B36" s="13">
        <f>'Growth by Clinic Detail'!B100</f>
        <v>58302.5</v>
      </c>
      <c r="C36" s="13">
        <f>'Growth by Clinic Detail'!C100</f>
        <v>59098.5</v>
      </c>
      <c r="D36" s="17">
        <f t="shared" si="0"/>
        <v>1.365293083486986E-2</v>
      </c>
      <c r="F36" s="275">
        <v>2.66</v>
      </c>
      <c r="G36" s="275">
        <f>F36*1.04</f>
        <v>2.7664000000000004</v>
      </c>
      <c r="H36" s="22">
        <f>IF(F36&gt;0,(G36-F36)/F36,0)</f>
        <v>4.0000000000000098E-2</v>
      </c>
      <c r="J36" s="21">
        <f>K36-(K36*0.03)</f>
        <v>1424.93</v>
      </c>
      <c r="K36" s="13">
        <v>1469</v>
      </c>
      <c r="L36" s="22">
        <f t="shared" si="1"/>
        <v>3.0927835051546344E-2</v>
      </c>
      <c r="N36" s="24">
        <f>'UH Surgery'!AV375</f>
        <v>5560.3205479452045</v>
      </c>
      <c r="O36" s="13">
        <f>'UH Surgery'!AX375</f>
        <v>5623</v>
      </c>
      <c r="P36" s="22">
        <f t="shared" si="3"/>
        <v>1.1272632848111338E-2</v>
      </c>
      <c r="R36" s="24">
        <f>'Growth wRVU''s'!I50</f>
        <v>176250.41666666663</v>
      </c>
      <c r="S36" s="24">
        <f>'Growth wRVU''s'!J50</f>
        <v>179774.71</v>
      </c>
      <c r="T36" s="17">
        <f t="shared" si="4"/>
        <v>1.9995943272001899E-2</v>
      </c>
    </row>
    <row r="37" spans="1:20" s="2" customFormat="1" x14ac:dyDescent="0.2">
      <c r="A37" s="3" t="s">
        <v>32</v>
      </c>
      <c r="B37" s="13">
        <f>'Growth by Clinic Detail'!B101</f>
        <v>8106</v>
      </c>
      <c r="C37" s="13">
        <f>'Growth by Clinic Detail'!C101</f>
        <v>8052</v>
      </c>
      <c r="D37" s="17">
        <f t="shared" si="0"/>
        <v>-6.6617320503330867E-3</v>
      </c>
      <c r="J37" s="21">
        <f>K37+(K37*0.02)</f>
        <v>1069.98</v>
      </c>
      <c r="K37" s="13">
        <v>1049</v>
      </c>
      <c r="L37" s="17">
        <f t="shared" si="1"/>
        <v>-1.9607843137254919E-2</v>
      </c>
      <c r="N37" s="24">
        <f>'SRMC Surgery'!BS56</f>
        <v>1289</v>
      </c>
      <c r="O37" s="13">
        <f>'SRMC Surgery'!CB56</f>
        <v>1660</v>
      </c>
      <c r="P37" s="22">
        <f t="shared" si="3"/>
        <v>0.2878200155159038</v>
      </c>
      <c r="R37" s="13">
        <f>'Growth wRVU''s'!I133</f>
        <v>32990.609999999986</v>
      </c>
      <c r="S37" s="13">
        <f>'Growth wRVU''s'!J133</f>
        <v>32993.54</v>
      </c>
      <c r="T37" s="17">
        <f t="shared" si="4"/>
        <v>8.8813150166512354E-5</v>
      </c>
    </row>
    <row r="38" spans="1:20" s="2" customFormat="1" x14ac:dyDescent="0.2">
      <c r="A38" s="3" t="s">
        <v>33</v>
      </c>
      <c r="B38" s="13">
        <f>'Growth by Clinic Detail'!B102</f>
        <v>1463</v>
      </c>
      <c r="C38" s="13">
        <f>'Growth by Clinic Detail'!C102</f>
        <v>2139</v>
      </c>
      <c r="D38" s="17">
        <f t="shared" si="0"/>
        <v>0.46206425153793573</v>
      </c>
      <c r="L38" s="17">
        <f t="shared" si="1"/>
        <v>0</v>
      </c>
      <c r="N38" s="24"/>
      <c r="O38" s="13"/>
      <c r="P38" s="22"/>
      <c r="R38" s="13"/>
      <c r="S38" s="13"/>
      <c r="T38" s="17"/>
    </row>
    <row r="39" spans="1:20" s="18" customFormat="1" x14ac:dyDescent="0.2">
      <c r="A39" s="18" t="s">
        <v>53</v>
      </c>
      <c r="B39" s="19">
        <f>SUM(B40:B41)</f>
        <v>0</v>
      </c>
      <c r="C39" s="19">
        <f>SUM(C40:C41)</f>
        <v>0</v>
      </c>
      <c r="D39" s="20">
        <f t="shared" si="0"/>
        <v>0</v>
      </c>
      <c r="L39" s="20">
        <f t="shared" si="1"/>
        <v>0</v>
      </c>
      <c r="R39" s="19">
        <f>SUM(R40:R41)</f>
        <v>93630.403333333321</v>
      </c>
      <c r="S39" s="19">
        <f>SUM(S40:S41)</f>
        <v>95337.34</v>
      </c>
      <c r="T39" s="20">
        <f t="shared" si="4"/>
        <v>1.823058115631325E-2</v>
      </c>
    </row>
    <row r="40" spans="1:20" s="18" customFormat="1" x14ac:dyDescent="0.2">
      <c r="A40" s="3" t="s">
        <v>31</v>
      </c>
      <c r="B40" s="19"/>
      <c r="C40" s="19"/>
      <c r="D40" s="17">
        <f t="shared" si="0"/>
        <v>0</v>
      </c>
      <c r="J40" s="21">
        <f>K40-(K40*0.03)</f>
        <v>0</v>
      </c>
      <c r="L40" s="22">
        <f t="shared" si="1"/>
        <v>0</v>
      </c>
      <c r="R40" s="24">
        <f>'Growth wRVU''s'!I52</f>
        <v>93612.579999999987</v>
      </c>
      <c r="S40" s="24">
        <f>'Growth wRVU''s'!J52</f>
        <v>95317</v>
      </c>
      <c r="T40" s="17">
        <f t="shared" si="4"/>
        <v>1.8207168310071287E-2</v>
      </c>
    </row>
    <row r="41" spans="1:20" s="18" customFormat="1" x14ac:dyDescent="0.2">
      <c r="A41" s="3" t="s">
        <v>32</v>
      </c>
      <c r="B41" s="19"/>
      <c r="C41" s="19"/>
      <c r="D41" s="17">
        <f t="shared" si="0"/>
        <v>0</v>
      </c>
      <c r="L41" s="22">
        <f t="shared" si="1"/>
        <v>0</v>
      </c>
      <c r="R41" s="24">
        <f>'Growth wRVU''s'!I134</f>
        <v>17.823333333333331</v>
      </c>
      <c r="S41" s="24">
        <f>'Growth wRVU''s'!J134</f>
        <v>20.34</v>
      </c>
      <c r="T41" s="17">
        <f t="shared" si="4"/>
        <v>0.14120067327473365</v>
      </c>
    </row>
    <row r="42" spans="1:20" s="18" customFormat="1" x14ac:dyDescent="0.2">
      <c r="A42" s="18" t="s">
        <v>54</v>
      </c>
      <c r="B42" s="19">
        <f>SUM(B43:B44)</f>
        <v>75065.5</v>
      </c>
      <c r="C42" s="19">
        <f>SUM(C43:C44)</f>
        <v>75962.500400000004</v>
      </c>
      <c r="D42" s="20">
        <f t="shared" si="0"/>
        <v>1.1949569376078285E-2</v>
      </c>
      <c r="J42" s="827">
        <f>SUM(J43:J44)</f>
        <v>5666.74</v>
      </c>
      <c r="K42" s="827">
        <f>SUM(K43:K44)</f>
        <v>5842</v>
      </c>
      <c r="L42" s="20">
        <f t="shared" si="1"/>
        <v>3.0927835051546431E-2</v>
      </c>
      <c r="R42" s="19">
        <f>SUM(R43:R44)</f>
        <v>265465.37</v>
      </c>
      <c r="S42" s="19">
        <f>SUM(S43:S44)</f>
        <v>280333</v>
      </c>
      <c r="T42" s="20">
        <f t="shared" si="4"/>
        <v>5.6005911430180161E-2</v>
      </c>
    </row>
    <row r="43" spans="1:20" s="2" customFormat="1" x14ac:dyDescent="0.2">
      <c r="A43" s="3" t="s">
        <v>31</v>
      </c>
      <c r="B43" s="13">
        <f>'Growth by Clinic Detail'!B113</f>
        <v>70852.5</v>
      </c>
      <c r="C43" s="13">
        <f>'Growth by Clinic Detail'!C113</f>
        <v>71440.500400000004</v>
      </c>
      <c r="D43" s="17">
        <f t="shared" si="0"/>
        <v>8.2989365230585286E-3</v>
      </c>
      <c r="F43" s="275">
        <v>1.75</v>
      </c>
      <c r="G43" s="275">
        <f>F43*1.04</f>
        <v>1.82</v>
      </c>
      <c r="H43" s="22">
        <f>IF(F43&gt;0,(G43-F43)/F43,0)</f>
        <v>4.0000000000000036E-2</v>
      </c>
      <c r="J43" s="21">
        <f>K43-(K43*0.03)</f>
        <v>5666.74</v>
      </c>
      <c r="K43" s="13">
        <v>5842</v>
      </c>
      <c r="L43" s="22">
        <f t="shared" si="1"/>
        <v>3.0927835051546431E-2</v>
      </c>
      <c r="R43" s="23">
        <f>'Growth wRVU''s'!I80</f>
        <v>265465.37</v>
      </c>
      <c r="S43" s="23">
        <f>'Growth wRVU''s'!J80</f>
        <v>280333</v>
      </c>
      <c r="T43" s="22">
        <f>IF(R43&gt;0,(S43-R43)/R43,0)</f>
        <v>5.6005911430180161E-2</v>
      </c>
    </row>
    <row r="44" spans="1:20" s="2" customFormat="1" x14ac:dyDescent="0.2">
      <c r="A44" s="3" t="s">
        <v>33</v>
      </c>
      <c r="B44" s="24">
        <f>'Growth by Clinic Detail'!B114</f>
        <v>4213</v>
      </c>
      <c r="C44" s="24">
        <f>'Growth by Clinic Detail'!C114</f>
        <v>4522</v>
      </c>
      <c r="D44" s="17">
        <f t="shared" si="0"/>
        <v>7.3344410159031564E-2</v>
      </c>
      <c r="L44" s="17">
        <f t="shared" si="1"/>
        <v>0</v>
      </c>
      <c r="R44" s="13"/>
      <c r="S44" s="13"/>
      <c r="T44" s="22">
        <f>IF(R44&gt;0,(S44-R44)/R44,0)</f>
        <v>0</v>
      </c>
    </row>
    <row r="45" spans="1:20" s="18" customFormat="1" x14ac:dyDescent="0.2">
      <c r="A45" s="18" t="s">
        <v>55</v>
      </c>
      <c r="B45" s="19">
        <f>SUM(B46:B49)</f>
        <v>54882</v>
      </c>
      <c r="C45" s="19">
        <f>SUM(C46:C49)</f>
        <v>61949</v>
      </c>
      <c r="D45" s="20">
        <f t="shared" si="0"/>
        <v>0.12876717320797346</v>
      </c>
      <c r="J45" s="19">
        <f>SUM(J46:J48)</f>
        <v>2566.62</v>
      </c>
      <c r="K45" s="19">
        <f>SUM(K46:K48)</f>
        <v>2646</v>
      </c>
      <c r="L45" s="20">
        <f t="shared" si="1"/>
        <v>3.0927835051546435E-2</v>
      </c>
      <c r="R45" s="19">
        <f>SUM(R46:R48)</f>
        <v>108302.03</v>
      </c>
      <c r="S45" s="19">
        <f>SUM(S46:S48)</f>
        <v>106690</v>
      </c>
      <c r="T45" s="20">
        <f t="shared" ref="T45:T57" si="5">IF(R45&gt;0,(S45-R45)/R45,0)</f>
        <v>-1.4884577879103456E-2</v>
      </c>
    </row>
    <row r="46" spans="1:20" s="18" customFormat="1" x14ac:dyDescent="0.2">
      <c r="A46" s="3" t="s">
        <v>472</v>
      </c>
      <c r="B46" s="21">
        <f>'Growth by Clinic Detail'!B135</f>
        <v>44794</v>
      </c>
      <c r="C46" s="21">
        <f>'Growth by Clinic Detail'!C135</f>
        <v>48774</v>
      </c>
      <c r="D46" s="17">
        <f t="shared" si="0"/>
        <v>8.8851185426619642E-2</v>
      </c>
      <c r="F46" s="277"/>
      <c r="G46" s="277"/>
      <c r="H46" s="22"/>
      <c r="J46" s="21">
        <f t="shared" ref="J46:J47" si="6">K46-(K46*0.03)</f>
        <v>1644.15</v>
      </c>
      <c r="K46" s="13">
        <v>1695</v>
      </c>
      <c r="L46" s="22">
        <f t="shared" si="1"/>
        <v>3.0927835051546334E-2</v>
      </c>
      <c r="R46" s="24">
        <f>'Growth wRVU''s'!I82</f>
        <v>105344</v>
      </c>
      <c r="S46" s="24">
        <f>'Growth wRVU''s'!J82</f>
        <v>103221</v>
      </c>
      <c r="T46" s="22">
        <f t="shared" si="5"/>
        <v>-2.0153022478736331E-2</v>
      </c>
    </row>
    <row r="47" spans="1:20" s="18" customFormat="1" x14ac:dyDescent="0.2">
      <c r="A47" s="3" t="s">
        <v>473</v>
      </c>
      <c r="B47" s="21">
        <f>'Growth by Clinic Detail'!B122</f>
        <v>10088</v>
      </c>
      <c r="C47" s="21">
        <f>'Growth by Clinic Detail'!C122</f>
        <v>11005</v>
      </c>
      <c r="D47" s="17">
        <f t="shared" si="0"/>
        <v>9.0900079302141154E-2</v>
      </c>
      <c r="F47" s="277"/>
      <c r="G47" s="277"/>
      <c r="H47" s="22"/>
      <c r="J47" s="21">
        <f t="shared" si="6"/>
        <v>922.47</v>
      </c>
      <c r="K47" s="262">
        <v>951</v>
      </c>
      <c r="L47" s="22">
        <f t="shared" si="1"/>
        <v>3.0927835051546362E-2</v>
      </c>
      <c r="R47" s="24"/>
      <c r="S47" s="24"/>
      <c r="T47" s="22"/>
    </row>
    <row r="48" spans="1:20" s="18" customFormat="1" x14ac:dyDescent="0.2">
      <c r="A48" s="3" t="s">
        <v>32</v>
      </c>
      <c r="B48" s="19"/>
      <c r="C48" s="19"/>
      <c r="D48" s="17">
        <f t="shared" si="0"/>
        <v>0</v>
      </c>
      <c r="L48" s="22">
        <f t="shared" si="1"/>
        <v>0</v>
      </c>
      <c r="R48" s="24">
        <f>'Growth wRVU''s'!I135</f>
        <v>2958.0299999999997</v>
      </c>
      <c r="S48" s="24">
        <f>'Growth wRVU''s'!J135</f>
        <v>3469</v>
      </c>
      <c r="T48" s="22">
        <f t="shared" si="5"/>
        <v>0.17273996544997863</v>
      </c>
    </row>
    <row r="49" spans="1:20" s="794" customFormat="1" x14ac:dyDescent="0.2">
      <c r="A49" s="789" t="s">
        <v>33</v>
      </c>
      <c r="B49" s="21">
        <f>'Growth by Clinic Detail'!B137</f>
        <v>0</v>
      </c>
      <c r="C49" s="21">
        <f>'Growth by Clinic Detail'!C137</f>
        <v>2170</v>
      </c>
      <c r="D49" s="17">
        <f t="shared" si="0"/>
        <v>0</v>
      </c>
      <c r="L49" s="22">
        <f t="shared" si="1"/>
        <v>0</v>
      </c>
      <c r="R49" s="24"/>
      <c r="S49" s="24"/>
      <c r="T49" s="22"/>
    </row>
    <row r="50" spans="1:20" s="18" customFormat="1" x14ac:dyDescent="0.2">
      <c r="A50" s="18" t="s">
        <v>56</v>
      </c>
      <c r="B50" s="19">
        <f>SUM(B51:B52)</f>
        <v>0</v>
      </c>
      <c r="C50" s="19">
        <f>SUM(C51:C52)</f>
        <v>0</v>
      </c>
      <c r="D50" s="20">
        <f t="shared" si="0"/>
        <v>0</v>
      </c>
      <c r="J50" s="19">
        <f>SUM(J51:J52)</f>
        <v>7.76</v>
      </c>
      <c r="K50" s="18">
        <f>SUM(K51:K52)</f>
        <v>8</v>
      </c>
      <c r="L50" s="20">
        <f t="shared" si="1"/>
        <v>3.0927835051546421E-2</v>
      </c>
      <c r="R50" s="19">
        <f>SUM(R51:R52)</f>
        <v>267299.21000000008</v>
      </c>
      <c r="S50" s="19">
        <f>SUM(S51:S52)</f>
        <v>272277.60999999987</v>
      </c>
      <c r="T50" s="20">
        <f t="shared" si="5"/>
        <v>1.862482122562124E-2</v>
      </c>
    </row>
    <row r="51" spans="1:20" s="18" customFormat="1" x14ac:dyDescent="0.2">
      <c r="A51" s="3" t="s">
        <v>31</v>
      </c>
      <c r="B51" s="19"/>
      <c r="C51" s="19"/>
      <c r="D51" s="17">
        <f t="shared" si="0"/>
        <v>0</v>
      </c>
      <c r="J51" s="21">
        <f>K51-(K51*0.03)</f>
        <v>7.76</v>
      </c>
      <c r="K51" s="789">
        <v>8</v>
      </c>
      <c r="L51" s="22">
        <f t="shared" si="1"/>
        <v>3.0927835051546421E-2</v>
      </c>
      <c r="R51" s="24">
        <f>'Growth wRVU''s'!I83</f>
        <v>228822.7383333334</v>
      </c>
      <c r="S51" s="24">
        <f>'Growth wRVU''s'!J83</f>
        <v>233488.6099999999</v>
      </c>
      <c r="T51" s="22">
        <f t="shared" si="5"/>
        <v>2.0390769294394047E-2</v>
      </c>
    </row>
    <row r="52" spans="1:20" s="18" customFormat="1" x14ac:dyDescent="0.2">
      <c r="A52" s="3" t="s">
        <v>32</v>
      </c>
      <c r="B52" s="19"/>
      <c r="C52" s="19"/>
      <c r="D52" s="17">
        <f t="shared" si="0"/>
        <v>0</v>
      </c>
      <c r="L52" s="22">
        <f t="shared" si="1"/>
        <v>0</v>
      </c>
      <c r="R52" s="24">
        <f>'Growth wRVU''s'!I136</f>
        <v>38476.471666666657</v>
      </c>
      <c r="S52" s="24">
        <f>'Growth wRVU''s'!J136</f>
        <v>38789</v>
      </c>
      <c r="T52" s="22">
        <f t="shared" si="5"/>
        <v>8.1225829655294408E-3</v>
      </c>
    </row>
    <row r="53" spans="1:20" s="18" customFormat="1" x14ac:dyDescent="0.2">
      <c r="A53" s="18" t="s">
        <v>57</v>
      </c>
      <c r="B53" s="19">
        <f>SUM(B54:B55)</f>
        <v>71041</v>
      </c>
      <c r="C53" s="19">
        <f>SUM(C54:C55)</f>
        <v>75897.998799999987</v>
      </c>
      <c r="D53" s="20">
        <f t="shared" si="0"/>
        <v>6.8368953139736025E-2</v>
      </c>
      <c r="J53" s="827">
        <f>SUM(J54:J55)</f>
        <v>7114.26</v>
      </c>
      <c r="K53" s="827">
        <f>SUM(K54:K55)</f>
        <v>7313</v>
      </c>
      <c r="L53" s="20">
        <f t="shared" si="1"/>
        <v>2.7935442336940144E-2</v>
      </c>
      <c r="N53" s="19">
        <f>SUM(N54:N55)</f>
        <v>12654.846575342464</v>
      </c>
      <c r="O53" s="19">
        <f>SUM(O54:O55)</f>
        <v>13767</v>
      </c>
      <c r="P53" s="20">
        <f>IF(N53&gt;0,(O53-N53)/N53,0)</f>
        <v>8.7883596062280883E-2</v>
      </c>
      <c r="R53" s="19">
        <f>SUM(R54:R55)</f>
        <v>293338.36999999994</v>
      </c>
      <c r="S53" s="19">
        <f>SUM(S54:S55)</f>
        <v>308380.11999999994</v>
      </c>
      <c r="T53" s="20">
        <f t="shared" si="5"/>
        <v>5.1277812718465723E-2</v>
      </c>
    </row>
    <row r="54" spans="1:20" s="18" customFormat="1" x14ac:dyDescent="0.2">
      <c r="A54" s="3" t="s">
        <v>31</v>
      </c>
      <c r="B54" s="21">
        <f>'Growth by Clinic Detail'!B151</f>
        <v>63043</v>
      </c>
      <c r="C54" s="21">
        <f>'Growth by Clinic Detail'!C151</f>
        <v>67115.998799999987</v>
      </c>
      <c r="D54" s="17">
        <f t="shared" si="0"/>
        <v>6.4606677981694824E-2</v>
      </c>
      <c r="F54" s="277">
        <v>3.07</v>
      </c>
      <c r="G54" s="275">
        <f>F54*1.04</f>
        <v>3.1928000000000001</v>
      </c>
      <c r="H54" s="22">
        <f>IF(F54&gt;0,(G54-F54)/F54,0)</f>
        <v>4.0000000000000084E-2</v>
      </c>
      <c r="J54" s="21">
        <f>K54-(K54*0.03)</f>
        <v>6693</v>
      </c>
      <c r="K54" s="13">
        <v>6900</v>
      </c>
      <c r="L54" s="22">
        <f t="shared" si="1"/>
        <v>3.0927835051546393E-2</v>
      </c>
      <c r="N54" s="23">
        <f>'UH Surgery'!AV13+'UH Surgery'!AV23+'UH Surgery'!AV75+'UH Surgery'!AV88+'UH Surgery'!AV134+'UH Surgery'!AV156+'UH Surgery'!AV279+'UH Surgery'!AV312+'UH Surgery'!AV314+'UH Surgery'!AV398+'UH Surgery'!AV438+'UH Surgery'!AV447</f>
        <v>11282.846575342464</v>
      </c>
      <c r="O54" s="21">
        <f>'UH Surgery'!AX13+'UH Surgery'!AX23+'UH Surgery'!AX75+'UH Surgery'!AX88+'UH Surgery'!AX134+'UH Surgery'!AX156+'UH Surgery'!AX279+'UH Surgery'!AX312+'UH Surgery'!AX314+'UH Surgery'!AX398+'UH Surgery'!AX438+'UH Surgery'!AX447</f>
        <v>12289</v>
      </c>
      <c r="P54" s="22">
        <f>IF(N54&gt;0,(O54-N54)/N54,0)</f>
        <v>8.9175494671387592E-2</v>
      </c>
      <c r="R54" s="24">
        <f>'Growth wRVU''s'!I108</f>
        <v>268910.06999999995</v>
      </c>
      <c r="S54" s="24">
        <f>'Growth wRVU''s'!J108</f>
        <v>286331.01999999996</v>
      </c>
      <c r="T54" s="22">
        <f t="shared" si="5"/>
        <v>6.4783553847574449E-2</v>
      </c>
    </row>
    <row r="55" spans="1:20" s="18" customFormat="1" x14ac:dyDescent="0.2">
      <c r="A55" s="3" t="s">
        <v>32</v>
      </c>
      <c r="B55" s="21">
        <f>'Growth by Clinic Detail'!B155</f>
        <v>7998</v>
      </c>
      <c r="C55" s="21">
        <f>'Growth by Clinic Detail'!C155</f>
        <v>8782</v>
      </c>
      <c r="D55" s="17">
        <f t="shared" si="0"/>
        <v>9.802450612653163E-2</v>
      </c>
      <c r="J55" s="21">
        <f>K55+(K55*0.02)</f>
        <v>421.26</v>
      </c>
      <c r="K55" s="789">
        <v>413</v>
      </c>
      <c r="L55" s="22">
        <f t="shared" si="1"/>
        <v>-1.9607843137254881E-2</v>
      </c>
      <c r="N55" s="23">
        <f>'SRMC Surgery'!BS5+'SRMC Surgery'!BS84</f>
        <v>1372</v>
      </c>
      <c r="O55" s="21">
        <f>'SRMC Surgery'!CB5+'SRMC Surgery'!CB84</f>
        <v>1478</v>
      </c>
      <c r="P55" s="22">
        <f>IF(N55&gt;0,(O55-N55)/N55,0)</f>
        <v>7.7259475218658891E-2</v>
      </c>
      <c r="R55" s="49">
        <f>'Growth wRVU''s'!I142</f>
        <v>24428.299999999992</v>
      </c>
      <c r="S55" s="49">
        <f>'Growth wRVU''s'!J142</f>
        <v>22049.1</v>
      </c>
      <c r="T55" s="50">
        <f t="shared" si="5"/>
        <v>-9.7395234216052451E-2</v>
      </c>
    </row>
    <row r="56" spans="1:20" s="18" customFormat="1" x14ac:dyDescent="0.2">
      <c r="A56" s="18" t="s">
        <v>618</v>
      </c>
      <c r="B56" s="19">
        <f>'Growth by Clinic Detail'!B167</f>
        <v>75216.5</v>
      </c>
      <c r="C56" s="19">
        <f>'Growth by Clinic Detail'!C167</f>
        <v>79018.999599999996</v>
      </c>
      <c r="D56" s="20">
        <f t="shared" si="0"/>
        <v>5.0554061941196354E-2</v>
      </c>
      <c r="F56" s="276">
        <v>1.86</v>
      </c>
      <c r="G56" s="276">
        <f>F56*1.04</f>
        <v>1.9344000000000001</v>
      </c>
      <c r="H56" s="20">
        <f>IF(F56&gt;0,(G56-F56)/F56,0)</f>
        <v>4.0000000000000008E-2</v>
      </c>
      <c r="J56" s="19">
        <f>K56-(K56*0.03)</f>
        <v>191.09</v>
      </c>
      <c r="K56" s="19">
        <v>197</v>
      </c>
      <c r="L56" s="20">
        <f t="shared" si="1"/>
        <v>3.0927835051546372E-2</v>
      </c>
      <c r="N56" s="18">
        <f>'UH Surgery'!AV410</f>
        <v>43</v>
      </c>
      <c r="O56" s="18">
        <f>'UH Surgery'!AX410</f>
        <v>43</v>
      </c>
      <c r="P56" s="20">
        <f>IF(N56&gt;0,(O56-N56)/N56,0)</f>
        <v>0</v>
      </c>
      <c r="R56" s="48">
        <f>'Growth wRVU''s'!I112</f>
        <v>150575.31</v>
      </c>
      <c r="S56" s="48">
        <f>'Growth wRVU''s'!J112</f>
        <v>163952</v>
      </c>
      <c r="T56" s="51">
        <f t="shared" si="5"/>
        <v>8.8837207109186772E-2</v>
      </c>
    </row>
    <row r="57" spans="1:20" s="18" customFormat="1" ht="13.5" thickBot="1" x14ac:dyDescent="0.25">
      <c r="A57" s="33" t="s">
        <v>41</v>
      </c>
      <c r="B57" s="34">
        <f>B10+B13+B14+B15+B18+B22+B26+B27+B31+B35+B39+B42+B45+B50+B53+B56</f>
        <v>774329.5</v>
      </c>
      <c r="C57" s="34">
        <f>C10+C13+C14+C15+C18+C22+C26+C27+C31+C35+C39+C42+C45+C50+C53+C56</f>
        <v>802432.99679999985</v>
      </c>
      <c r="D57" s="35">
        <f t="shared" si="0"/>
        <v>3.629397665980677E-2</v>
      </c>
      <c r="E57" s="33"/>
      <c r="F57" s="279"/>
      <c r="G57" s="279"/>
      <c r="H57" s="35"/>
      <c r="I57" s="33"/>
      <c r="J57" s="34">
        <f>J10+J13+J14+J15+J18+J22+J26+J27+J31+J35+J39+J42+J45+J50+J53+J56</f>
        <v>44530.960000000006</v>
      </c>
      <c r="K57" s="34">
        <f>K10+K13+K14+K15+K18+K22+K26+K27+K31+K35+K39+K42+K45+K50+K53+K56</f>
        <v>45655.5</v>
      </c>
      <c r="L57" s="35">
        <f t="shared" si="1"/>
        <v>2.5252992524751171E-2</v>
      </c>
      <c r="M57" s="33"/>
      <c r="N57" s="34">
        <f>N10+N13+N14+N15+N18+N22+N26+N27+N31+N35+N39+N42+N45+N50+N53+N56</f>
        <v>22776.657534246573</v>
      </c>
      <c r="O57" s="34">
        <f>O10+O13+O14+O15+O18+O22+O26+O27+O31+O35+O39+O42+O45+O50+O53+O56</f>
        <v>24040</v>
      </c>
      <c r="P57" s="35">
        <f>IF(N57&gt;0,(O57-N57)/N57,0)</f>
        <v>5.5466543493218348E-2</v>
      </c>
      <c r="Q57" s="33"/>
      <c r="R57" s="34">
        <f>R10+R13+R14+R15+R18+R22+R26+R27+R31+R35+R39+R42+R45+R50+R53+R56</f>
        <v>3237510.25</v>
      </c>
      <c r="S57" s="34">
        <f>S10+S13+S14+S15+S18+S22+S26+S27+S31+S35+S39+S42+S45+S50+S53+S56</f>
        <v>3365892.89</v>
      </c>
      <c r="T57" s="35">
        <f t="shared" si="5"/>
        <v>3.9654743950231552E-2</v>
      </c>
    </row>
    <row r="59" spans="1:20" s="2" customFormat="1" x14ac:dyDescent="0.2">
      <c r="A59" s="18" t="s">
        <v>59</v>
      </c>
      <c r="J59" s="853" t="s">
        <v>173</v>
      </c>
      <c r="K59" s="853"/>
      <c r="L59" s="853"/>
      <c r="N59" s="853" t="s">
        <v>172</v>
      </c>
      <c r="O59" s="853"/>
      <c r="P59" s="853"/>
      <c r="R59" s="853" t="s">
        <v>174</v>
      </c>
      <c r="S59" s="853"/>
      <c r="T59" s="853"/>
    </row>
    <row r="60" spans="1:20" s="2" customFormat="1" x14ac:dyDescent="0.2">
      <c r="A60" s="10" t="s">
        <v>60</v>
      </c>
      <c r="B60" s="24">
        <v>1156</v>
      </c>
      <c r="C60" s="24">
        <v>1155.9996000000001</v>
      </c>
      <c r="D60" s="43">
        <f t="shared" ref="D60:D65" si="7">IF(B60&gt;0,(C60-B60)/B60,0)</f>
        <v>-3.4602076115881643E-7</v>
      </c>
      <c r="J60" s="21">
        <f>K60+(K60*0.02)</f>
        <v>189.72</v>
      </c>
      <c r="K60" s="14">
        <v>186</v>
      </c>
      <c r="L60" s="22">
        <f>IF(J60&gt;0,(K60-J60)/J60,0)</f>
        <v>-1.9607843137254895E-2</v>
      </c>
      <c r="N60" s="2">
        <f>'UH Surgery'!AV11+'UH Surgery'!AV198</f>
        <v>90</v>
      </c>
      <c r="O60" s="2">
        <f>'UH Surgery'!AX11+'UH Surgery'!AX198</f>
        <v>86</v>
      </c>
      <c r="P60" s="22">
        <f>IF(N60&gt;0,(O60-N60)/N60,0)</f>
        <v>-4.4444444444444446E-2</v>
      </c>
      <c r="R60" s="13"/>
      <c r="S60" s="13"/>
      <c r="T60" s="22">
        <f>IF(R60&gt;0,(S60-R60)/R60,0)</f>
        <v>0</v>
      </c>
    </row>
    <row r="61" spans="1:20" s="2" customFormat="1" x14ac:dyDescent="0.2">
      <c r="A61" s="10" t="s">
        <v>61</v>
      </c>
      <c r="B61" s="24">
        <v>1638</v>
      </c>
      <c r="C61" s="24">
        <v>1850.0003999999999</v>
      </c>
      <c r="D61" s="43">
        <f t="shared" si="7"/>
        <v>0.12942637362637358</v>
      </c>
      <c r="L61" s="17"/>
    </row>
    <row r="62" spans="1:20" s="2" customFormat="1" x14ac:dyDescent="0.2">
      <c r="A62" s="10" t="s">
        <v>62</v>
      </c>
      <c r="B62" s="24">
        <v>23880</v>
      </c>
      <c r="C62" s="24">
        <v>24646</v>
      </c>
      <c r="D62" s="43">
        <f t="shared" si="7"/>
        <v>3.2077051926298158E-2</v>
      </c>
      <c r="L62" s="17"/>
      <c r="N62" s="853" t="s">
        <v>173</v>
      </c>
      <c r="O62" s="853"/>
      <c r="P62" s="853"/>
      <c r="R62" s="853" t="s">
        <v>175</v>
      </c>
      <c r="S62" s="853"/>
      <c r="T62" s="853"/>
    </row>
    <row r="63" spans="1:20" s="2" customFormat="1" x14ac:dyDescent="0.2">
      <c r="A63" s="10" t="s">
        <v>63</v>
      </c>
      <c r="B63" s="24">
        <v>78758</v>
      </c>
      <c r="C63" s="24">
        <v>81189</v>
      </c>
      <c r="D63" s="43">
        <f t="shared" si="7"/>
        <v>3.086670560451002E-2</v>
      </c>
      <c r="L63" s="17"/>
      <c r="N63" s="423"/>
      <c r="O63" s="423"/>
      <c r="P63" s="423"/>
      <c r="R63" s="423"/>
      <c r="S63" s="423"/>
      <c r="T63" s="423"/>
    </row>
    <row r="64" spans="1:20" s="2" customFormat="1" x14ac:dyDescent="0.2">
      <c r="A64" s="10" t="s">
        <v>64</v>
      </c>
      <c r="B64" s="24">
        <v>3206</v>
      </c>
      <c r="C64" s="24">
        <v>3316</v>
      </c>
      <c r="D64" s="43">
        <f t="shared" si="7"/>
        <v>3.4310667498440424E-2</v>
      </c>
      <c r="L64" s="17"/>
      <c r="N64" s="422"/>
      <c r="O64" s="422"/>
      <c r="P64" s="422"/>
      <c r="R64" s="422"/>
      <c r="S64" s="422"/>
      <c r="T64" s="422"/>
    </row>
    <row r="65" spans="1:21" s="2" customFormat="1" ht="13.5" thickBot="1" x14ac:dyDescent="0.25">
      <c r="A65" s="39" t="s">
        <v>124</v>
      </c>
      <c r="B65" s="44">
        <f>SUM(B60:B64)</f>
        <v>108638</v>
      </c>
      <c r="C65" s="44">
        <f>SUM(C60:C64)</f>
        <v>112157</v>
      </c>
      <c r="D65" s="45">
        <f t="shared" si="7"/>
        <v>3.2391980706566764E-2</v>
      </c>
      <c r="E65" s="17"/>
      <c r="I65" s="17"/>
      <c r="L65" s="17"/>
      <c r="N65" s="735">
        <f>'SRMC Surgery'!BS126</f>
        <v>254</v>
      </c>
      <c r="O65" s="735">
        <f>'SRMC Surgery'!CB126</f>
        <v>198</v>
      </c>
      <c r="P65" s="22">
        <f>IF(N65&gt;0,(O65-N65)/N65,0)</f>
        <v>-0.22047244094488189</v>
      </c>
      <c r="R65" s="13">
        <f>'Growth wRVU''s'!I115</f>
        <v>19875.139999999996</v>
      </c>
      <c r="S65" s="13">
        <f>'Growth wRVU''s'!J115</f>
        <v>20189.14</v>
      </c>
      <c r="T65" s="22">
        <f>IF(R65&gt;0,(S65-R65)/R65,0)</f>
        <v>1.5798630852411791E-2</v>
      </c>
    </row>
    <row r="66" spans="1:21" s="2" customFormat="1" x14ac:dyDescent="0.2">
      <c r="A66" s="10"/>
      <c r="L66" s="17"/>
    </row>
    <row r="67" spans="1:21" s="2" customFormat="1" x14ac:dyDescent="0.2">
      <c r="A67" s="3" t="s">
        <v>42</v>
      </c>
      <c r="B67" s="14">
        <f>B4-B57-B65</f>
        <v>0</v>
      </c>
      <c r="C67" s="14">
        <f>C4-C57-C65</f>
        <v>0</v>
      </c>
      <c r="D67"/>
      <c r="L67" s="17"/>
    </row>
    <row r="68" spans="1:21" s="2" customFormat="1" x14ac:dyDescent="0.2">
      <c r="A68"/>
      <c r="B68"/>
      <c r="C68"/>
      <c r="D68"/>
      <c r="L68" s="17"/>
    </row>
    <row r="69" spans="1:21" s="2" customFormat="1" x14ac:dyDescent="0.2">
      <c r="A69" s="1"/>
      <c r="B69"/>
      <c r="C69"/>
      <c r="D69"/>
      <c r="L69" s="17"/>
    </row>
    <row r="70" spans="1:21" s="2" customFormat="1" x14ac:dyDescent="0.2">
      <c r="A70"/>
      <c r="B70"/>
      <c r="C70"/>
      <c r="D70"/>
      <c r="L70" s="17"/>
    </row>
    <row r="71" spans="1:21" x14ac:dyDescent="0.2">
      <c r="F71" s="14"/>
      <c r="G71" s="14"/>
      <c r="J71" s="103">
        <f>J4-J57-J60</f>
        <v>-135.6800000000064</v>
      </c>
      <c r="K71" s="103">
        <f>K4-K57-K60</f>
        <v>2.0420276538061444</v>
      </c>
      <c r="L71" s="300">
        <f>(K71-J71)/J71</f>
        <v>-1.0150503217409055</v>
      </c>
      <c r="N71" s="14">
        <f>N4-N57-N60-N65</f>
        <v>246.34246575342695</v>
      </c>
      <c r="O71" s="14">
        <f>O4-O57-O60-O65</f>
        <v>0</v>
      </c>
      <c r="R71" s="14">
        <f>R4-R57-R60-R65</f>
        <v>6.0026650317013264E-10</v>
      </c>
      <c r="S71" s="14">
        <f>S4-S57-S60-S65</f>
        <v>1.3096723705530167E-10</v>
      </c>
    </row>
    <row r="72" spans="1:21" x14ac:dyDescent="0.2">
      <c r="J72" s="3"/>
    </row>
    <row r="73" spans="1:21" x14ac:dyDescent="0.2">
      <c r="T73"/>
      <c r="U73"/>
    </row>
  </sheetData>
  <mergeCells count="13">
    <mergeCell ref="N62:P62"/>
    <mergeCell ref="R59:T59"/>
    <mergeCell ref="R62:T62"/>
    <mergeCell ref="N59:P59"/>
    <mergeCell ref="B1:D1"/>
    <mergeCell ref="J1:L1"/>
    <mergeCell ref="N1:P1"/>
    <mergeCell ref="R1:T1"/>
    <mergeCell ref="J9:L9"/>
    <mergeCell ref="F1:H1"/>
    <mergeCell ref="F9:H9"/>
    <mergeCell ref="F3:H3"/>
    <mergeCell ref="J59:L59"/>
  </mergeCells>
  <printOptions gridLines="1"/>
  <pageMargins left="0.7" right="0.7" top="0.75" bottom="0.75" header="0.3" footer="0.3"/>
  <pageSetup paperSize="5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workbookViewId="0">
      <pane ySplit="1" topLeftCell="A35" activePane="bottomLeft" state="frozen"/>
      <selection activeCell="C47" sqref="C47"/>
      <selection pane="bottomLeft" activeCell="B50" sqref="B50:C50"/>
    </sheetView>
  </sheetViews>
  <sheetFormatPr defaultRowHeight="12.75" x14ac:dyDescent="0.2"/>
  <cols>
    <col min="1" max="1" width="28.42578125" bestFit="1" customWidth="1"/>
    <col min="2" max="3" width="10.85546875" style="9" bestFit="1" customWidth="1"/>
    <col min="5" max="5" width="12.5703125" customWidth="1"/>
  </cols>
  <sheetData>
    <row r="1" spans="1:4" ht="25.5" x14ac:dyDescent="0.2">
      <c r="A1" s="25" t="s">
        <v>65</v>
      </c>
      <c r="B1" s="458" t="s">
        <v>612</v>
      </c>
      <c r="C1" s="458" t="s">
        <v>613</v>
      </c>
      <c r="D1" s="12" t="s">
        <v>474</v>
      </c>
    </row>
    <row r="2" spans="1:4" s="2" customFormat="1" x14ac:dyDescent="0.2">
      <c r="A2" s="29" t="s">
        <v>44</v>
      </c>
      <c r="B2" s="453"/>
      <c r="C2" s="453"/>
      <c r="D2" s="28"/>
    </row>
    <row r="3" spans="1:4" s="2" customFormat="1" ht="15" x14ac:dyDescent="0.25">
      <c r="A3" s="2" t="s">
        <v>464</v>
      </c>
      <c r="B3" s="453"/>
      <c r="C3" s="456">
        <v>0</v>
      </c>
      <c r="D3" s="17"/>
    </row>
    <row r="4" spans="1:4" s="2" customFormat="1" ht="15" x14ac:dyDescent="0.25">
      <c r="A4" s="2" t="s">
        <v>465</v>
      </c>
      <c r="B4" s="461">
        <v>12961</v>
      </c>
      <c r="C4" s="456">
        <v>13350</v>
      </c>
      <c r="D4" s="17"/>
    </row>
    <row r="5" spans="1:4" s="2" customFormat="1" ht="15" x14ac:dyDescent="0.25">
      <c r="A5" s="2" t="s">
        <v>466</v>
      </c>
      <c r="B5" s="461">
        <v>2034</v>
      </c>
      <c r="C5" s="456">
        <v>2094</v>
      </c>
      <c r="D5" s="17"/>
    </row>
    <row r="6" spans="1:4" s="2" customFormat="1" ht="15" x14ac:dyDescent="0.25">
      <c r="A6" s="2" t="s">
        <v>467</v>
      </c>
      <c r="B6" s="461">
        <v>599</v>
      </c>
      <c r="C6" s="456">
        <v>615</v>
      </c>
      <c r="D6" s="17"/>
    </row>
    <row r="7" spans="1:4" s="2" customFormat="1" ht="15" x14ac:dyDescent="0.25">
      <c r="A7" s="2" t="s">
        <v>468</v>
      </c>
      <c r="B7" s="461">
        <v>726</v>
      </c>
      <c r="C7" s="456">
        <v>748</v>
      </c>
      <c r="D7" s="17"/>
    </row>
    <row r="8" spans="1:4" s="2" customFormat="1" ht="15" x14ac:dyDescent="0.25">
      <c r="A8" s="2" t="s">
        <v>469</v>
      </c>
      <c r="B8" s="461">
        <v>3862</v>
      </c>
      <c r="C8" s="456">
        <v>3977</v>
      </c>
      <c r="D8" s="17"/>
    </row>
    <row r="9" spans="1:4" s="2" customFormat="1" ht="15" x14ac:dyDescent="0.25">
      <c r="A9" s="38" t="s">
        <v>470</v>
      </c>
      <c r="B9" s="462">
        <v>1489</v>
      </c>
      <c r="C9" s="457">
        <v>1534</v>
      </c>
      <c r="D9" s="32"/>
    </row>
    <row r="10" spans="1:4" s="18" customFormat="1" x14ac:dyDescent="0.2">
      <c r="A10" s="29" t="s">
        <v>77</v>
      </c>
      <c r="B10" s="452">
        <f>SUM(B3:B9)</f>
        <v>21671</v>
      </c>
      <c r="C10" s="452">
        <f>SUM(C3:C9)</f>
        <v>22318</v>
      </c>
      <c r="D10" s="20">
        <f>(C10-B10)/B10</f>
        <v>2.9855567348068848E-2</v>
      </c>
    </row>
    <row r="11" spans="1:4" s="2" customFormat="1" x14ac:dyDescent="0.2">
      <c r="A11" s="1"/>
      <c r="B11" s="453"/>
      <c r="C11" s="453"/>
      <c r="D11" s="28"/>
    </row>
    <row r="12" spans="1:4" s="2" customFormat="1" x14ac:dyDescent="0.2">
      <c r="A12" s="29" t="s">
        <v>74</v>
      </c>
      <c r="B12" s="453"/>
      <c r="C12" s="453"/>
      <c r="D12" s="28"/>
    </row>
    <row r="13" spans="1:4" x14ac:dyDescent="0.2">
      <c r="A13" s="26" t="s">
        <v>66</v>
      </c>
      <c r="B13" s="24">
        <v>16802</v>
      </c>
      <c r="C13" s="24">
        <v>16802</v>
      </c>
      <c r="D13" s="17">
        <f>(C13-B13)/B13</f>
        <v>0</v>
      </c>
    </row>
    <row r="15" spans="1:4" s="2" customFormat="1" x14ac:dyDescent="0.2">
      <c r="A15" s="18" t="s">
        <v>75</v>
      </c>
      <c r="B15" s="9"/>
      <c r="C15" s="9"/>
    </row>
    <row r="16" spans="1:4" x14ac:dyDescent="0.2">
      <c r="A16" s="10" t="s">
        <v>67</v>
      </c>
      <c r="B16" s="24">
        <v>21524</v>
      </c>
      <c r="C16" s="24">
        <v>21612</v>
      </c>
      <c r="D16" s="17">
        <f t="shared" ref="D16:D25" si="0">(C16-B16)/B16</f>
        <v>4.0884593941646532E-3</v>
      </c>
    </row>
    <row r="17" spans="1:5" x14ac:dyDescent="0.2">
      <c r="A17" s="10" t="s">
        <v>68</v>
      </c>
      <c r="B17" s="24">
        <v>7312</v>
      </c>
      <c r="C17" s="24">
        <v>10520</v>
      </c>
      <c r="D17" s="17">
        <f t="shared" si="0"/>
        <v>0.43873085339168488</v>
      </c>
    </row>
    <row r="18" spans="1:5" x14ac:dyDescent="0.2">
      <c r="A18" s="10" t="s">
        <v>69</v>
      </c>
      <c r="B18" s="24">
        <v>17131</v>
      </c>
      <c r="C18" s="24">
        <v>18564</v>
      </c>
      <c r="D18" s="17">
        <f t="shared" si="0"/>
        <v>8.3649524254275881E-2</v>
      </c>
    </row>
    <row r="19" spans="1:5" x14ac:dyDescent="0.2">
      <c r="A19" s="10" t="s">
        <v>70</v>
      </c>
      <c r="B19" s="24">
        <v>21886</v>
      </c>
      <c r="C19" s="24">
        <v>21885.999599999999</v>
      </c>
      <c r="D19" s="17">
        <f t="shared" si="0"/>
        <v>-1.8276523842140477E-8</v>
      </c>
    </row>
    <row r="20" spans="1:5" x14ac:dyDescent="0.2">
      <c r="A20" s="10" t="s">
        <v>71</v>
      </c>
      <c r="B20" s="24">
        <v>17296</v>
      </c>
      <c r="C20" s="24">
        <v>17616</v>
      </c>
      <c r="D20" s="17">
        <f t="shared" si="0"/>
        <v>1.8501387604070305E-2</v>
      </c>
    </row>
    <row r="21" spans="1:5" x14ac:dyDescent="0.2">
      <c r="A21" s="10" t="s">
        <v>72</v>
      </c>
      <c r="B21" s="24">
        <v>13992</v>
      </c>
      <c r="C21" s="24">
        <v>15600</v>
      </c>
      <c r="D21" s="17">
        <f t="shared" si="0"/>
        <v>0.11492281303602059</v>
      </c>
    </row>
    <row r="22" spans="1:5" x14ac:dyDescent="0.2">
      <c r="A22" s="31" t="s">
        <v>73</v>
      </c>
      <c r="B22" s="448">
        <v>23921</v>
      </c>
      <c r="C22" s="448">
        <v>23982</v>
      </c>
      <c r="D22" s="32">
        <f t="shared" si="0"/>
        <v>2.5500606161949751E-3</v>
      </c>
    </row>
    <row r="23" spans="1:5" s="18" customFormat="1" x14ac:dyDescent="0.2">
      <c r="A23" s="30" t="s">
        <v>76</v>
      </c>
      <c r="B23" s="449">
        <f>SUM(B16:B22)</f>
        <v>123062</v>
      </c>
      <c r="C23" s="449">
        <f>SUM(C16:C22)</f>
        <v>129779.9996</v>
      </c>
      <c r="D23" s="20">
        <f t="shared" si="0"/>
        <v>5.4590365831857078E-2</v>
      </c>
    </row>
    <row r="24" spans="1:5" s="18" customFormat="1" x14ac:dyDescent="0.2">
      <c r="A24" s="30" t="s">
        <v>108</v>
      </c>
      <c r="B24" s="47">
        <v>14136</v>
      </c>
      <c r="C24" s="47">
        <v>16961</v>
      </c>
      <c r="D24" s="20">
        <f t="shared" si="0"/>
        <v>0.1998443689869836</v>
      </c>
    </row>
    <row r="25" spans="1:5" s="3" customFormat="1" x14ac:dyDescent="0.2">
      <c r="A25" s="36" t="s">
        <v>77</v>
      </c>
      <c r="B25" s="451">
        <f>B23+B24</f>
        <v>137198</v>
      </c>
      <c r="C25" s="451">
        <f>C23+C24</f>
        <v>146740.99959999998</v>
      </c>
      <c r="D25" s="37">
        <f t="shared" si="0"/>
        <v>6.9556404612311995E-2</v>
      </c>
    </row>
    <row r="27" spans="1:5" x14ac:dyDescent="0.2">
      <c r="A27" s="18" t="s">
        <v>48</v>
      </c>
    </row>
    <row r="28" spans="1:5" x14ac:dyDescent="0.2">
      <c r="A28" s="10" t="s">
        <v>164</v>
      </c>
      <c r="B28" s="24">
        <v>18611</v>
      </c>
      <c r="C28" s="24">
        <v>19387</v>
      </c>
      <c r="D28" s="17">
        <f>(C28-B28)/B28</f>
        <v>4.1695771318037721E-2</v>
      </c>
      <c r="E28" s="3"/>
    </row>
    <row r="29" spans="1:5" x14ac:dyDescent="0.2">
      <c r="A29" s="10" t="s">
        <v>165</v>
      </c>
      <c r="B29" s="24">
        <v>27044</v>
      </c>
      <c r="C29" s="24">
        <v>27044</v>
      </c>
      <c r="D29" s="17">
        <f>(C29-B29)/B29</f>
        <v>0</v>
      </c>
      <c r="E29" s="3" t="s">
        <v>166</v>
      </c>
    </row>
    <row r="30" spans="1:5" x14ac:dyDescent="0.2">
      <c r="A30" t="s">
        <v>78</v>
      </c>
      <c r="B30" s="24">
        <v>2722</v>
      </c>
      <c r="C30" s="24">
        <v>2722</v>
      </c>
      <c r="D30" s="17">
        <f t="shared" ref="D30:D65" si="1">(C30-B30)/B30</f>
        <v>0</v>
      </c>
    </row>
    <row r="31" spans="1:5" s="2" customFormat="1" x14ac:dyDescent="0.2">
      <c r="A31" s="2" t="s">
        <v>633</v>
      </c>
      <c r="B31" s="24">
        <v>0</v>
      </c>
      <c r="C31" s="24">
        <v>750</v>
      </c>
      <c r="D31" s="17"/>
    </row>
    <row r="32" spans="1:5" x14ac:dyDescent="0.2">
      <c r="A32" t="s">
        <v>79</v>
      </c>
      <c r="B32" s="24">
        <v>2844</v>
      </c>
      <c r="C32" s="24">
        <v>2844</v>
      </c>
      <c r="D32" s="17">
        <f t="shared" si="1"/>
        <v>0</v>
      </c>
    </row>
    <row r="33" spans="1:5" x14ac:dyDescent="0.2">
      <c r="A33" t="s">
        <v>80</v>
      </c>
      <c r="B33" s="24">
        <v>9055</v>
      </c>
      <c r="C33" s="24">
        <v>9318</v>
      </c>
      <c r="D33" s="17">
        <f t="shared" si="1"/>
        <v>2.9044726670347874E-2</v>
      </c>
    </row>
    <row r="34" spans="1:5" x14ac:dyDescent="0.2">
      <c r="A34" t="s">
        <v>81</v>
      </c>
      <c r="B34" s="24">
        <v>394</v>
      </c>
      <c r="C34" s="24">
        <v>402.99959999999999</v>
      </c>
      <c r="D34" s="17">
        <f t="shared" si="1"/>
        <v>2.2841624365482201E-2</v>
      </c>
    </row>
    <row r="35" spans="1:5" x14ac:dyDescent="0.2">
      <c r="A35" t="s">
        <v>82</v>
      </c>
      <c r="B35" s="24">
        <v>4939</v>
      </c>
      <c r="C35" s="24">
        <v>4437</v>
      </c>
      <c r="D35" s="17">
        <f t="shared" si="1"/>
        <v>-0.10164000809880543</v>
      </c>
    </row>
    <row r="36" spans="1:5" x14ac:dyDescent="0.2">
      <c r="A36" t="s">
        <v>83</v>
      </c>
      <c r="B36" s="24">
        <v>5342</v>
      </c>
      <c r="C36" s="24">
        <v>5496.9996000000001</v>
      </c>
      <c r="D36" s="17">
        <f t="shared" si="1"/>
        <v>2.9015275177836034E-2</v>
      </c>
    </row>
    <row r="37" spans="1:5" x14ac:dyDescent="0.2">
      <c r="A37" t="s">
        <v>84</v>
      </c>
      <c r="B37" s="24">
        <v>1977</v>
      </c>
      <c r="C37" s="24">
        <v>2072.0003999999999</v>
      </c>
      <c r="D37" s="17">
        <f t="shared" si="1"/>
        <v>4.8052807283763224E-2</v>
      </c>
    </row>
    <row r="38" spans="1:5" x14ac:dyDescent="0.2">
      <c r="A38" t="s">
        <v>85</v>
      </c>
      <c r="B38" s="24">
        <v>-5</v>
      </c>
      <c r="C38" s="24">
        <v>0</v>
      </c>
      <c r="D38" s="17">
        <f t="shared" si="1"/>
        <v>-1</v>
      </c>
    </row>
    <row r="39" spans="1:5" x14ac:dyDescent="0.2">
      <c r="A39" t="s">
        <v>86</v>
      </c>
      <c r="B39" s="24">
        <v>8178</v>
      </c>
      <c r="C39" s="24">
        <v>8505</v>
      </c>
      <c r="D39" s="17">
        <f t="shared" si="1"/>
        <v>3.998532648569332E-2</v>
      </c>
    </row>
    <row r="40" spans="1:5" x14ac:dyDescent="0.2">
      <c r="A40" t="s">
        <v>87</v>
      </c>
      <c r="B40" s="24"/>
      <c r="C40" s="24"/>
      <c r="D40" s="17" t="e">
        <f t="shared" si="1"/>
        <v>#DIV/0!</v>
      </c>
      <c r="E40" s="3" t="s">
        <v>620</v>
      </c>
    </row>
    <row r="41" spans="1:5" x14ac:dyDescent="0.2">
      <c r="A41" t="s">
        <v>88</v>
      </c>
      <c r="B41" s="24"/>
      <c r="C41" s="24"/>
      <c r="D41" s="17" t="e">
        <f t="shared" si="1"/>
        <v>#DIV/0!</v>
      </c>
      <c r="E41" s="3" t="s">
        <v>620</v>
      </c>
    </row>
    <row r="42" spans="1:5" x14ac:dyDescent="0.2">
      <c r="A42" t="s">
        <v>89</v>
      </c>
      <c r="B42" s="24">
        <v>6952</v>
      </c>
      <c r="C42" s="24">
        <v>6952</v>
      </c>
      <c r="D42" s="17">
        <f t="shared" si="1"/>
        <v>0</v>
      </c>
      <c r="E42" s="3" t="s">
        <v>619</v>
      </c>
    </row>
    <row r="43" spans="1:5" x14ac:dyDescent="0.2">
      <c r="A43" t="s">
        <v>90</v>
      </c>
      <c r="B43" s="24">
        <v>2064</v>
      </c>
      <c r="C43" s="24">
        <v>2046</v>
      </c>
      <c r="D43" s="17">
        <f t="shared" si="1"/>
        <v>-8.7209302325581394E-3</v>
      </c>
    </row>
    <row r="44" spans="1:5" x14ac:dyDescent="0.2">
      <c r="A44" t="s">
        <v>91</v>
      </c>
      <c r="B44" s="24">
        <v>246</v>
      </c>
      <c r="C44" s="24">
        <v>252</v>
      </c>
      <c r="D44" s="17">
        <f t="shared" si="1"/>
        <v>2.4390243902439025E-2</v>
      </c>
    </row>
    <row r="45" spans="1:5" x14ac:dyDescent="0.2">
      <c r="A45" t="s">
        <v>92</v>
      </c>
      <c r="B45" s="24">
        <v>13510</v>
      </c>
      <c r="C45" s="24">
        <v>13705</v>
      </c>
      <c r="D45" s="17">
        <f t="shared" si="1"/>
        <v>1.4433752775721688E-2</v>
      </c>
    </row>
    <row r="46" spans="1:5" x14ac:dyDescent="0.2">
      <c r="A46" t="s">
        <v>93</v>
      </c>
      <c r="B46" s="24">
        <v>791</v>
      </c>
      <c r="C46" s="24">
        <v>791</v>
      </c>
      <c r="D46" s="17">
        <f t="shared" si="1"/>
        <v>0</v>
      </c>
    </row>
    <row r="47" spans="1:5" x14ac:dyDescent="0.2">
      <c r="A47" t="s">
        <v>94</v>
      </c>
      <c r="B47" s="24">
        <v>11169</v>
      </c>
      <c r="C47" s="24">
        <v>11169</v>
      </c>
      <c r="D47" s="17">
        <f t="shared" si="1"/>
        <v>0</v>
      </c>
    </row>
    <row r="48" spans="1:5" x14ac:dyDescent="0.2">
      <c r="A48" t="s">
        <v>95</v>
      </c>
      <c r="B48" s="24">
        <v>1866</v>
      </c>
      <c r="C48" s="24">
        <v>1980</v>
      </c>
      <c r="D48" s="17">
        <f t="shared" si="1"/>
        <v>6.1093247588424437E-2</v>
      </c>
    </row>
    <row r="49" spans="1:5" x14ac:dyDescent="0.2">
      <c r="A49" t="s">
        <v>96</v>
      </c>
      <c r="B49" s="24"/>
      <c r="C49" s="24"/>
      <c r="D49" s="17">
        <f>IF(B49&gt;0,(C49-B49)/B49,0)</f>
        <v>0</v>
      </c>
    </row>
    <row r="50" spans="1:5" s="2" customFormat="1" x14ac:dyDescent="0.2">
      <c r="A50" s="96" t="s">
        <v>97</v>
      </c>
      <c r="B50" s="49"/>
      <c r="C50" s="49"/>
      <c r="D50" s="41" t="e">
        <f t="shared" ref="D50" si="2">(C50-B50)/B50</f>
        <v>#DIV/0!</v>
      </c>
      <c r="E50" s="2" t="s">
        <v>1352</v>
      </c>
    </row>
    <row r="51" spans="1:5" x14ac:dyDescent="0.2">
      <c r="A51" s="38" t="s">
        <v>556</v>
      </c>
      <c r="B51" s="448"/>
      <c r="C51" s="448"/>
      <c r="D51" s="32" t="e">
        <f t="shared" si="1"/>
        <v>#DIV/0!</v>
      </c>
      <c r="E51" s="3" t="s">
        <v>558</v>
      </c>
    </row>
    <row r="52" spans="1:5" x14ac:dyDescent="0.2">
      <c r="A52" s="18" t="s">
        <v>98</v>
      </c>
      <c r="B52" s="449">
        <f>SUM(B28:B51)</f>
        <v>117699</v>
      </c>
      <c r="C52" s="449">
        <f>SUM(C28:C51)</f>
        <v>119873.99960000001</v>
      </c>
      <c r="D52" s="20">
        <f t="shared" si="1"/>
        <v>1.8479337972285324E-2</v>
      </c>
    </row>
    <row r="53" spans="1:5" x14ac:dyDescent="0.2">
      <c r="A53" s="10" t="s">
        <v>99</v>
      </c>
      <c r="B53" s="24">
        <v>916</v>
      </c>
      <c r="C53" s="24">
        <v>796</v>
      </c>
      <c r="D53" s="17">
        <f t="shared" si="1"/>
        <v>-0.13100436681222707</v>
      </c>
    </row>
    <row r="54" spans="1:5" x14ac:dyDescent="0.2">
      <c r="A54" s="10" t="s">
        <v>100</v>
      </c>
      <c r="B54" s="24">
        <v>3146</v>
      </c>
      <c r="C54" s="24">
        <v>3556</v>
      </c>
      <c r="D54" s="17">
        <f t="shared" si="1"/>
        <v>0.13032422123331214</v>
      </c>
    </row>
    <row r="55" spans="1:5" x14ac:dyDescent="0.2">
      <c r="A55" s="10" t="s">
        <v>101</v>
      </c>
      <c r="B55" s="24">
        <v>800</v>
      </c>
      <c r="C55" s="24">
        <v>836</v>
      </c>
      <c r="D55" s="17">
        <f t="shared" si="1"/>
        <v>4.4999999999999998E-2</v>
      </c>
    </row>
    <row r="56" spans="1:5" x14ac:dyDescent="0.2">
      <c r="A56" s="10" t="s">
        <v>102</v>
      </c>
      <c r="B56" s="24">
        <v>1180</v>
      </c>
      <c r="C56" s="24">
        <v>530</v>
      </c>
      <c r="D56" s="17">
        <f t="shared" si="1"/>
        <v>-0.55084745762711862</v>
      </c>
    </row>
    <row r="57" spans="1:5" x14ac:dyDescent="0.2">
      <c r="A57" s="10" t="s">
        <v>84</v>
      </c>
      <c r="B57" s="24">
        <v>254</v>
      </c>
      <c r="C57" s="24">
        <v>356</v>
      </c>
      <c r="D57" s="17">
        <f t="shared" si="1"/>
        <v>0.40157480314960631</v>
      </c>
    </row>
    <row r="58" spans="1:5" x14ac:dyDescent="0.2">
      <c r="A58" s="10" t="s">
        <v>103</v>
      </c>
      <c r="B58" s="24">
        <v>596</v>
      </c>
      <c r="C58" s="24">
        <v>596</v>
      </c>
      <c r="D58" s="17">
        <f>IF(B58&gt;0,(C58-B58)/B58,0)</f>
        <v>0</v>
      </c>
    </row>
    <row r="59" spans="1:5" x14ac:dyDescent="0.2">
      <c r="A59" s="10" t="s">
        <v>104</v>
      </c>
      <c r="B59" s="24">
        <v>596</v>
      </c>
      <c r="C59" s="24">
        <v>775</v>
      </c>
      <c r="D59" s="17">
        <f t="shared" si="1"/>
        <v>0.30033557046979864</v>
      </c>
    </row>
    <row r="60" spans="1:5" x14ac:dyDescent="0.2">
      <c r="A60" s="31" t="s">
        <v>89</v>
      </c>
      <c r="B60" s="448">
        <v>3212</v>
      </c>
      <c r="C60" s="448">
        <v>2571</v>
      </c>
      <c r="D60" s="32">
        <f t="shared" si="1"/>
        <v>-0.19956413449564134</v>
      </c>
    </row>
    <row r="61" spans="1:5" s="18" customFormat="1" x14ac:dyDescent="0.2">
      <c r="A61" s="30" t="s">
        <v>105</v>
      </c>
      <c r="B61" s="449">
        <f>SUM(B53:B60)</f>
        <v>10700</v>
      </c>
      <c r="C61" s="449">
        <f>SUM(C53:C60)</f>
        <v>10016</v>
      </c>
      <c r="D61" s="20">
        <f t="shared" si="1"/>
        <v>-6.3925233644859816E-2</v>
      </c>
    </row>
    <row r="62" spans="1:5" s="18" customFormat="1" x14ac:dyDescent="0.2">
      <c r="A62" s="63" t="s">
        <v>181</v>
      </c>
      <c r="B62" s="459">
        <v>7508</v>
      </c>
      <c r="C62" s="459">
        <v>7503</v>
      </c>
      <c r="D62" s="17">
        <f t="shared" si="1"/>
        <v>-6.6595631326584978E-4</v>
      </c>
    </row>
    <row r="63" spans="1:5" s="18" customFormat="1" x14ac:dyDescent="0.2">
      <c r="A63" s="65" t="s">
        <v>182</v>
      </c>
      <c r="B63" s="460">
        <v>12688</v>
      </c>
      <c r="C63" s="460">
        <v>13340</v>
      </c>
      <c r="D63" s="32">
        <f t="shared" si="1"/>
        <v>5.1387137452711222E-2</v>
      </c>
    </row>
    <row r="64" spans="1:5" s="18" customFormat="1" x14ac:dyDescent="0.2">
      <c r="A64" s="30" t="s">
        <v>183</v>
      </c>
      <c r="B64" s="449">
        <f>SUM(B62:B63)</f>
        <v>20196</v>
      </c>
      <c r="C64" s="449">
        <f>SUM(C62:C63)</f>
        <v>20843</v>
      </c>
      <c r="D64" s="20">
        <f t="shared" si="1"/>
        <v>3.2036046741929093E-2</v>
      </c>
    </row>
    <row r="65" spans="1:5" ht="13.5" thickBot="1" x14ac:dyDescent="0.25">
      <c r="A65" s="39" t="s">
        <v>77</v>
      </c>
      <c r="B65" s="450">
        <f>B52+B61+B64</f>
        <v>148595</v>
      </c>
      <c r="C65" s="450">
        <f>C52+C61+C64</f>
        <v>150732.99960000001</v>
      </c>
      <c r="D65" s="35">
        <f t="shared" si="1"/>
        <v>1.4388099195800735E-2</v>
      </c>
    </row>
    <row r="67" spans="1:5" x14ac:dyDescent="0.2">
      <c r="A67" s="18" t="s">
        <v>49</v>
      </c>
    </row>
    <row r="68" spans="1:5" x14ac:dyDescent="0.2">
      <c r="A68" s="10" t="s">
        <v>106</v>
      </c>
      <c r="B68" s="24">
        <v>13091</v>
      </c>
      <c r="C68" s="24">
        <v>15186</v>
      </c>
      <c r="D68" s="17">
        <f>(C68-B68)/B68</f>
        <v>0.16003361087770224</v>
      </c>
    </row>
    <row r="69" spans="1:5" s="2" customFormat="1" x14ac:dyDescent="0.2">
      <c r="A69" s="10" t="s">
        <v>555</v>
      </c>
      <c r="B69" s="24">
        <v>36</v>
      </c>
      <c r="C69" s="24">
        <v>36</v>
      </c>
      <c r="D69" s="43">
        <f>(C69-B69)/B69</f>
        <v>0</v>
      </c>
    </row>
    <row r="70" spans="1:5" s="2" customFormat="1" ht="13.5" thickBot="1" x14ac:dyDescent="0.25">
      <c r="A70" s="40" t="s">
        <v>77</v>
      </c>
      <c r="B70" s="44">
        <f>SUM(B68:B69)</f>
        <v>13127</v>
      </c>
      <c r="C70" s="44">
        <f>SUM(C68:C69)</f>
        <v>15222</v>
      </c>
      <c r="D70" s="45">
        <f>(C70-B70)/B70</f>
        <v>0.15959472842233566</v>
      </c>
    </row>
    <row r="72" spans="1:5" x14ac:dyDescent="0.2">
      <c r="A72" s="18" t="s">
        <v>50</v>
      </c>
    </row>
    <row r="73" spans="1:5" x14ac:dyDescent="0.2">
      <c r="A73" s="10" t="s">
        <v>38</v>
      </c>
      <c r="B73" s="24">
        <v>10526</v>
      </c>
      <c r="C73" s="24">
        <v>7664</v>
      </c>
      <c r="D73" s="17">
        <f t="shared" ref="D73:D78" si="3">(C73-B73)/B73</f>
        <v>-0.27189815694470831</v>
      </c>
    </row>
    <row r="74" spans="1:5" x14ac:dyDescent="0.2">
      <c r="A74" s="31" t="s">
        <v>107</v>
      </c>
      <c r="B74" s="448">
        <v>9396</v>
      </c>
      <c r="C74" s="448">
        <v>8736</v>
      </c>
      <c r="D74" s="32">
        <f t="shared" si="3"/>
        <v>-7.0242656449553006E-2</v>
      </c>
    </row>
    <row r="75" spans="1:5" s="18" customFormat="1" x14ac:dyDescent="0.2">
      <c r="A75" s="40" t="s">
        <v>98</v>
      </c>
      <c r="B75" s="449">
        <f>SUM(B73:B74)</f>
        <v>19922</v>
      </c>
      <c r="C75" s="449">
        <f>SUM(C73:C74)</f>
        <v>16400</v>
      </c>
      <c r="D75" s="20">
        <f t="shared" si="3"/>
        <v>-0.17678947896797512</v>
      </c>
    </row>
    <row r="76" spans="1:5" x14ac:dyDescent="0.2">
      <c r="A76" s="30" t="s">
        <v>105</v>
      </c>
      <c r="B76" s="47">
        <v>1756</v>
      </c>
      <c r="C76" s="47">
        <v>1218</v>
      </c>
      <c r="D76" s="20">
        <f t="shared" si="3"/>
        <v>-0.30637813211845105</v>
      </c>
    </row>
    <row r="77" spans="1:5" s="2" customFormat="1" x14ac:dyDescent="0.2">
      <c r="A77" s="30" t="s">
        <v>183</v>
      </c>
      <c r="B77" s="47">
        <v>2537</v>
      </c>
      <c r="C77" s="47">
        <v>0</v>
      </c>
      <c r="D77" s="20">
        <f>IF(B77&gt;0,(C77-B77)/B77,0)</f>
        <v>-1</v>
      </c>
      <c r="E77" s="3" t="s">
        <v>488</v>
      </c>
    </row>
    <row r="78" spans="1:5" ht="13.5" thickBot="1" x14ac:dyDescent="0.25">
      <c r="A78" s="39" t="s">
        <v>77</v>
      </c>
      <c r="B78" s="450">
        <f>B75+B76+B77</f>
        <v>24215</v>
      </c>
      <c r="C78" s="450">
        <f>C75+C76+C77</f>
        <v>17618</v>
      </c>
      <c r="D78" s="35">
        <f t="shared" si="3"/>
        <v>-0.27243444146190376</v>
      </c>
    </row>
    <row r="80" spans="1:5" x14ac:dyDescent="0.2">
      <c r="A80" s="18" t="s">
        <v>51</v>
      </c>
    </row>
    <row r="81" spans="1:5" x14ac:dyDescent="0.2">
      <c r="A81" s="10" t="s">
        <v>109</v>
      </c>
      <c r="B81" s="24">
        <v>49729</v>
      </c>
      <c r="C81" s="24">
        <v>50275.999199999998</v>
      </c>
      <c r="D81" s="17">
        <f t="shared" ref="D81:D91" si="4">(C81-B81)/B81</f>
        <v>1.0999601841983519E-2</v>
      </c>
    </row>
    <row r="82" spans="1:5" x14ac:dyDescent="0.2">
      <c r="A82" s="10" t="s">
        <v>110</v>
      </c>
      <c r="B82" s="24">
        <v>8250</v>
      </c>
      <c r="C82" s="24">
        <v>8304.9995999999992</v>
      </c>
      <c r="D82" s="17">
        <f t="shared" si="4"/>
        <v>6.666618181818084E-3</v>
      </c>
    </row>
    <row r="83" spans="1:5" s="2" customFormat="1" x14ac:dyDescent="0.2">
      <c r="A83" s="10" t="s">
        <v>553</v>
      </c>
      <c r="B83" s="24"/>
      <c r="C83" s="24"/>
      <c r="D83" s="17"/>
      <c r="E83" s="3" t="s">
        <v>558</v>
      </c>
    </row>
    <row r="84" spans="1:5" s="2" customFormat="1" x14ac:dyDescent="0.2">
      <c r="A84" s="10" t="s">
        <v>554</v>
      </c>
      <c r="B84" s="24"/>
      <c r="C84" s="24"/>
      <c r="D84" s="17"/>
      <c r="E84" s="3" t="s">
        <v>558</v>
      </c>
    </row>
    <row r="85" spans="1:5" x14ac:dyDescent="0.2">
      <c r="A85" s="31" t="s">
        <v>111</v>
      </c>
      <c r="B85" s="448">
        <v>1772</v>
      </c>
      <c r="C85" s="448">
        <v>1758</v>
      </c>
      <c r="D85" s="32">
        <f t="shared" si="4"/>
        <v>-7.900677200902935E-3</v>
      </c>
    </row>
    <row r="86" spans="1:5" x14ac:dyDescent="0.2">
      <c r="A86" s="40" t="s">
        <v>98</v>
      </c>
      <c r="B86" s="449">
        <f>SUM(B81:B85)</f>
        <v>59751</v>
      </c>
      <c r="C86" s="449">
        <f>SUM(C81:C85)</f>
        <v>60338.998800000001</v>
      </c>
      <c r="D86" s="20">
        <f t="shared" si="4"/>
        <v>9.8408194005121449E-3</v>
      </c>
    </row>
    <row r="87" spans="1:5" x14ac:dyDescent="0.2">
      <c r="A87" s="10" t="s">
        <v>112</v>
      </c>
      <c r="B87" s="24">
        <v>2002</v>
      </c>
      <c r="C87" s="24">
        <v>2475</v>
      </c>
      <c r="D87" s="17">
        <f t="shared" si="4"/>
        <v>0.23626373626373626</v>
      </c>
    </row>
    <row r="88" spans="1:5" x14ac:dyDescent="0.2">
      <c r="A88" s="31" t="s">
        <v>113</v>
      </c>
      <c r="B88" s="448">
        <v>1752</v>
      </c>
      <c r="C88" s="448">
        <v>2425</v>
      </c>
      <c r="D88" s="32">
        <f t="shared" si="4"/>
        <v>0.3841324200913242</v>
      </c>
    </row>
    <row r="89" spans="1:5" x14ac:dyDescent="0.2">
      <c r="A89" s="30" t="s">
        <v>105</v>
      </c>
      <c r="B89" s="449">
        <f>SUM(B87:B88)</f>
        <v>3754</v>
      </c>
      <c r="C89" s="449">
        <f>SUM(C87:C88)</f>
        <v>4900</v>
      </c>
      <c r="D89" s="20">
        <f t="shared" si="4"/>
        <v>0.30527437400106555</v>
      </c>
    </row>
    <row r="90" spans="1:5" s="2" customFormat="1" x14ac:dyDescent="0.2">
      <c r="A90" s="30" t="s">
        <v>183</v>
      </c>
      <c r="B90" s="449">
        <f>4286+854</f>
        <v>5140</v>
      </c>
      <c r="C90" s="449">
        <f>4784+858</f>
        <v>5642</v>
      </c>
      <c r="D90" s="20">
        <f t="shared" si="4"/>
        <v>9.7665369649805447E-2</v>
      </c>
      <c r="E90" s="3" t="s">
        <v>631</v>
      </c>
    </row>
    <row r="91" spans="1:5" ht="13.5" thickBot="1" x14ac:dyDescent="0.25">
      <c r="A91" s="39" t="s">
        <v>77</v>
      </c>
      <c r="B91" s="450">
        <f>B86+B89+B90</f>
        <v>68645</v>
      </c>
      <c r="C91" s="450">
        <f>C86+C89+C90</f>
        <v>70880.998800000001</v>
      </c>
      <c r="D91" s="35">
        <f t="shared" si="4"/>
        <v>3.2573367324641285E-2</v>
      </c>
    </row>
    <row r="93" spans="1:5" x14ac:dyDescent="0.2">
      <c r="A93" s="18" t="s">
        <v>52</v>
      </c>
    </row>
    <row r="94" spans="1:5" x14ac:dyDescent="0.2">
      <c r="A94" s="10" t="s">
        <v>114</v>
      </c>
      <c r="B94" s="24">
        <v>12481</v>
      </c>
      <c r="C94" s="24">
        <v>12399.999599999999</v>
      </c>
      <c r="D94" s="17">
        <f t="shared" ref="D94:D103" si="5">(C94-B94)/B94</f>
        <v>-6.4898966428972686E-3</v>
      </c>
    </row>
    <row r="95" spans="1:5" x14ac:dyDescent="0.2">
      <c r="A95" s="10" t="s">
        <v>39</v>
      </c>
      <c r="B95" s="24">
        <v>11466</v>
      </c>
      <c r="C95" s="24">
        <v>11768.000400000001</v>
      </c>
      <c r="D95" s="17">
        <f t="shared" si="5"/>
        <v>2.6338775510204152E-2</v>
      </c>
    </row>
    <row r="96" spans="1:5" x14ac:dyDescent="0.2">
      <c r="A96" s="10" t="s">
        <v>115</v>
      </c>
      <c r="B96" s="24">
        <v>4388</v>
      </c>
      <c r="C96" s="24">
        <v>5070.9996000000001</v>
      </c>
      <c r="D96" s="17">
        <f t="shared" si="5"/>
        <v>0.15565168641750229</v>
      </c>
    </row>
    <row r="97" spans="1:5" x14ac:dyDescent="0.2">
      <c r="A97" s="27" t="s">
        <v>116</v>
      </c>
      <c r="B97" s="49">
        <v>11438</v>
      </c>
      <c r="C97" s="49">
        <v>11330.000400000001</v>
      </c>
      <c r="D97" s="41">
        <f t="shared" si="5"/>
        <v>-9.4421752054554293E-3</v>
      </c>
    </row>
    <row r="98" spans="1:5" s="2" customFormat="1" x14ac:dyDescent="0.2">
      <c r="A98" s="10" t="s">
        <v>123</v>
      </c>
      <c r="B98" s="49">
        <f>37059/2</f>
        <v>18529.5</v>
      </c>
      <c r="C98" s="49">
        <f>37059/2</f>
        <v>18529.5</v>
      </c>
      <c r="D98" s="41">
        <f t="shared" si="5"/>
        <v>0</v>
      </c>
      <c r="E98" s="3" t="s">
        <v>559</v>
      </c>
    </row>
    <row r="99" spans="1:5" x14ac:dyDescent="0.2">
      <c r="A99" s="31" t="s">
        <v>117</v>
      </c>
      <c r="B99" s="448">
        <v>0</v>
      </c>
      <c r="C99" s="448">
        <v>0</v>
      </c>
      <c r="D99" s="32" t="e">
        <f t="shared" si="5"/>
        <v>#DIV/0!</v>
      </c>
    </row>
    <row r="100" spans="1:5" s="18" customFormat="1" x14ac:dyDescent="0.2">
      <c r="A100" s="40" t="s">
        <v>98</v>
      </c>
      <c r="B100" s="449">
        <f>SUM(B94:B99)</f>
        <v>58302.5</v>
      </c>
      <c r="C100" s="449">
        <f>SUM(C94:C99)</f>
        <v>59098.5</v>
      </c>
      <c r="D100" s="20">
        <f t="shared" si="5"/>
        <v>1.365293083486986E-2</v>
      </c>
    </row>
    <row r="101" spans="1:5" x14ac:dyDescent="0.2">
      <c r="A101" s="30" t="s">
        <v>105</v>
      </c>
      <c r="B101" s="47">
        <v>8106</v>
      </c>
      <c r="C101" s="47">
        <v>8052</v>
      </c>
      <c r="D101" s="42">
        <f t="shared" si="5"/>
        <v>-6.6617320503330867E-3</v>
      </c>
    </row>
    <row r="102" spans="1:5" s="2" customFormat="1" x14ac:dyDescent="0.2">
      <c r="A102" s="30" t="s">
        <v>183</v>
      </c>
      <c r="B102" s="47">
        <v>1463</v>
      </c>
      <c r="C102" s="47">
        <v>2139</v>
      </c>
      <c r="D102" s="42">
        <f t="shared" si="5"/>
        <v>0.46206425153793573</v>
      </c>
      <c r="E102" s="3" t="s">
        <v>632</v>
      </c>
    </row>
    <row r="103" spans="1:5" s="29" customFormat="1" ht="13.5" thickBot="1" x14ac:dyDescent="0.25">
      <c r="A103" s="39" t="s">
        <v>77</v>
      </c>
      <c r="B103" s="450">
        <f>SUM(B100:B102)</f>
        <v>67871.5</v>
      </c>
      <c r="C103" s="450">
        <f>SUM(C100:C102)</f>
        <v>69289.5</v>
      </c>
      <c r="D103" s="35">
        <f t="shared" si="5"/>
        <v>2.0892421708670061E-2</v>
      </c>
    </row>
    <row r="105" spans="1:5" x14ac:dyDescent="0.2">
      <c r="A105" s="18" t="s">
        <v>54</v>
      </c>
    </row>
    <row r="106" spans="1:5" x14ac:dyDescent="0.2">
      <c r="A106" s="10" t="s">
        <v>118</v>
      </c>
      <c r="B106" s="24">
        <v>2128</v>
      </c>
      <c r="C106" s="24">
        <v>2151</v>
      </c>
      <c r="D106" s="41">
        <f t="shared" ref="D106:D115" si="6">(C106-B106)/B106</f>
        <v>1.0808270676691729E-2</v>
      </c>
    </row>
    <row r="107" spans="1:5" x14ac:dyDescent="0.2">
      <c r="A107" s="10" t="s">
        <v>40</v>
      </c>
      <c r="B107" s="24">
        <v>28034</v>
      </c>
      <c r="C107" s="24">
        <v>28034.000400000001</v>
      </c>
      <c r="D107" s="41">
        <f t="shared" si="6"/>
        <v>1.4268388414392755E-8</v>
      </c>
    </row>
    <row r="108" spans="1:5" x14ac:dyDescent="0.2">
      <c r="A108" s="10" t="s">
        <v>119</v>
      </c>
      <c r="B108" s="24">
        <v>670</v>
      </c>
      <c r="C108" s="24">
        <v>735</v>
      </c>
      <c r="D108" s="41">
        <f t="shared" si="6"/>
        <v>9.7014925373134331E-2</v>
      </c>
    </row>
    <row r="109" spans="1:5" x14ac:dyDescent="0.2">
      <c r="A109" s="10" t="s">
        <v>120</v>
      </c>
      <c r="B109" s="24">
        <v>3056</v>
      </c>
      <c r="C109" s="24">
        <v>3056.0003999999999</v>
      </c>
      <c r="D109" s="41">
        <f t="shared" si="6"/>
        <v>1.3089005232316486E-7</v>
      </c>
    </row>
    <row r="110" spans="1:5" x14ac:dyDescent="0.2">
      <c r="A110" s="10" t="s">
        <v>121</v>
      </c>
      <c r="B110" s="24">
        <v>2944</v>
      </c>
      <c r="C110" s="24">
        <v>2943.9996000000001</v>
      </c>
      <c r="D110" s="41">
        <f t="shared" si="6"/>
        <v>-1.3586956518328525E-7</v>
      </c>
    </row>
    <row r="111" spans="1:5" x14ac:dyDescent="0.2">
      <c r="A111" s="10" t="s">
        <v>122</v>
      </c>
      <c r="B111" s="24">
        <v>15491</v>
      </c>
      <c r="C111" s="24">
        <v>15991</v>
      </c>
      <c r="D111" s="41">
        <f t="shared" si="6"/>
        <v>3.2276805887289393E-2</v>
      </c>
    </row>
    <row r="112" spans="1:5" x14ac:dyDescent="0.2">
      <c r="A112" s="31" t="s">
        <v>123</v>
      </c>
      <c r="B112" s="448">
        <f>37059/2</f>
        <v>18529.5</v>
      </c>
      <c r="C112" s="448">
        <f>37059/2</f>
        <v>18529.5</v>
      </c>
      <c r="D112" s="32">
        <f t="shared" si="6"/>
        <v>0</v>
      </c>
      <c r="E112" s="3" t="s">
        <v>559</v>
      </c>
    </row>
    <row r="113" spans="1:5" s="2" customFormat="1" x14ac:dyDescent="0.2">
      <c r="A113" s="30" t="s">
        <v>98</v>
      </c>
      <c r="B113" s="47">
        <f>SUM(B106:B112)</f>
        <v>70852.5</v>
      </c>
      <c r="C113" s="47">
        <f>SUM(C106:C112)</f>
        <v>71440.500400000004</v>
      </c>
      <c r="D113" s="42">
        <f t="shared" si="6"/>
        <v>8.2989365230585286E-3</v>
      </c>
    </row>
    <row r="114" spans="1:5" s="2" customFormat="1" x14ac:dyDescent="0.2">
      <c r="A114" s="30" t="s">
        <v>183</v>
      </c>
      <c r="B114" s="47">
        <v>4213</v>
      </c>
      <c r="C114" s="47">
        <v>4522</v>
      </c>
      <c r="D114" s="42">
        <f t="shared" si="6"/>
        <v>7.3344410159031564E-2</v>
      </c>
      <c r="E114" s="3" t="s">
        <v>489</v>
      </c>
    </row>
    <row r="115" spans="1:5" s="18" customFormat="1" ht="13.5" thickBot="1" x14ac:dyDescent="0.25">
      <c r="A115" s="39" t="s">
        <v>77</v>
      </c>
      <c r="B115" s="450">
        <f>B113+B114</f>
        <v>75065.5</v>
      </c>
      <c r="C115" s="450">
        <f>C113+C114</f>
        <v>75962.500400000004</v>
      </c>
      <c r="D115" s="35">
        <f t="shared" si="6"/>
        <v>1.1949569376078285E-2</v>
      </c>
    </row>
    <row r="117" spans="1:5" x14ac:dyDescent="0.2">
      <c r="A117" s="18" t="s">
        <v>55</v>
      </c>
    </row>
    <row r="118" spans="1:5" x14ac:dyDescent="0.2">
      <c r="A118" s="10" t="s">
        <v>125</v>
      </c>
      <c r="B118" s="24">
        <v>230</v>
      </c>
      <c r="C118" s="24">
        <v>295</v>
      </c>
      <c r="D118" s="41">
        <f t="shared" ref="D118:D139" si="7">(C118-B118)/B118</f>
        <v>0.28260869565217389</v>
      </c>
    </row>
    <row r="119" spans="1:5" s="2" customFormat="1" x14ac:dyDescent="0.2">
      <c r="A119" s="10" t="s">
        <v>621</v>
      </c>
      <c r="B119" s="24">
        <v>2812</v>
      </c>
      <c r="C119" s="24">
        <v>3600</v>
      </c>
      <c r="D119" s="41">
        <f t="shared" si="7"/>
        <v>0.2802275960170697</v>
      </c>
    </row>
    <row r="120" spans="1:5" x14ac:dyDescent="0.2">
      <c r="A120" s="10" t="s">
        <v>126</v>
      </c>
      <c r="B120" s="24">
        <v>1312</v>
      </c>
      <c r="C120" s="24">
        <v>1376</v>
      </c>
      <c r="D120" s="41">
        <f t="shared" si="7"/>
        <v>4.878048780487805E-2</v>
      </c>
      <c r="E120" s="2"/>
    </row>
    <row r="121" spans="1:5" x14ac:dyDescent="0.2">
      <c r="A121" s="10" t="s">
        <v>127</v>
      </c>
      <c r="B121" s="24">
        <v>5734</v>
      </c>
      <c r="C121" s="24">
        <v>5734</v>
      </c>
      <c r="D121" s="41">
        <f t="shared" si="7"/>
        <v>0</v>
      </c>
      <c r="E121" s="2"/>
    </row>
    <row r="122" spans="1:5" s="2" customFormat="1" ht="13.5" thickBot="1" x14ac:dyDescent="0.25">
      <c r="A122" s="40" t="s">
        <v>551</v>
      </c>
      <c r="B122" s="44">
        <f>SUM(B118:B121)</f>
        <v>10088</v>
      </c>
      <c r="C122" s="44">
        <f>SUM(C118:C121)</f>
        <v>11005</v>
      </c>
      <c r="D122" s="35">
        <f t="shared" si="7"/>
        <v>9.0900079302141154E-2</v>
      </c>
    </row>
    <row r="123" spans="1:5" s="2" customFormat="1" x14ac:dyDescent="0.2">
      <c r="A123" s="10"/>
      <c r="B123" s="24"/>
      <c r="C123" s="24"/>
      <c r="D123" s="41"/>
    </row>
    <row r="124" spans="1:5" x14ac:dyDescent="0.2">
      <c r="A124" s="10" t="s">
        <v>128</v>
      </c>
      <c r="B124" s="24">
        <v>6616</v>
      </c>
      <c r="C124" s="24">
        <v>5923</v>
      </c>
      <c r="D124" s="41">
        <f t="shared" si="7"/>
        <v>-0.10474607013301088</v>
      </c>
      <c r="E124" s="2" t="s">
        <v>550</v>
      </c>
    </row>
    <row r="125" spans="1:5" x14ac:dyDescent="0.2">
      <c r="A125" s="10" t="s">
        <v>129</v>
      </c>
      <c r="B125" s="24">
        <v>128</v>
      </c>
      <c r="C125" s="24">
        <v>128</v>
      </c>
      <c r="D125" s="41">
        <f t="shared" si="7"/>
        <v>0</v>
      </c>
      <c r="E125" s="2" t="s">
        <v>550</v>
      </c>
    </row>
    <row r="126" spans="1:5" x14ac:dyDescent="0.2">
      <c r="A126" s="10" t="s">
        <v>130</v>
      </c>
      <c r="B126" s="24">
        <v>1332</v>
      </c>
      <c r="C126" s="24">
        <v>1391</v>
      </c>
      <c r="D126" s="41">
        <f t="shared" si="7"/>
        <v>4.4294294294294295E-2</v>
      </c>
      <c r="E126" s="2" t="s">
        <v>550</v>
      </c>
    </row>
    <row r="127" spans="1:5" x14ac:dyDescent="0.2">
      <c r="A127" t="s">
        <v>131</v>
      </c>
      <c r="B127" s="24">
        <v>646</v>
      </c>
      <c r="C127" s="24">
        <v>935</v>
      </c>
      <c r="D127" s="41">
        <f t="shared" si="7"/>
        <v>0.44736842105263158</v>
      </c>
      <c r="E127" s="2" t="s">
        <v>550</v>
      </c>
    </row>
    <row r="128" spans="1:5" x14ac:dyDescent="0.2">
      <c r="A128" s="10" t="s">
        <v>125</v>
      </c>
      <c r="B128" s="24">
        <v>14710</v>
      </c>
      <c r="C128" s="24">
        <v>14554</v>
      </c>
      <c r="D128" s="41">
        <f t="shared" si="7"/>
        <v>-1.0605030591434398E-2</v>
      </c>
      <c r="E128" s="2" t="s">
        <v>550</v>
      </c>
    </row>
    <row r="129" spans="1:5" x14ac:dyDescent="0.2">
      <c r="A129" s="10" t="s">
        <v>132</v>
      </c>
      <c r="B129" s="24">
        <v>1956</v>
      </c>
      <c r="C129" s="24">
        <v>2290</v>
      </c>
      <c r="D129" s="41">
        <f t="shared" si="7"/>
        <v>0.17075664621676892</v>
      </c>
      <c r="E129" s="2" t="s">
        <v>550</v>
      </c>
    </row>
    <row r="130" spans="1:5" x14ac:dyDescent="0.2">
      <c r="A130" s="46" t="s">
        <v>133</v>
      </c>
      <c r="B130" s="24">
        <v>6310</v>
      </c>
      <c r="C130" s="24">
        <v>6171</v>
      </c>
      <c r="D130" s="41">
        <f t="shared" si="7"/>
        <v>-2.2028526148969888E-2</v>
      </c>
      <c r="E130" s="2" t="s">
        <v>550</v>
      </c>
    </row>
    <row r="131" spans="1:5" x14ac:dyDescent="0.2">
      <c r="A131" s="46" t="s">
        <v>134</v>
      </c>
      <c r="B131" s="24">
        <v>1334</v>
      </c>
      <c r="C131" s="24">
        <v>1430</v>
      </c>
      <c r="D131" s="41">
        <f t="shared" si="7"/>
        <v>7.1964017991004492E-2</v>
      </c>
      <c r="E131" s="2" t="s">
        <v>550</v>
      </c>
    </row>
    <row r="132" spans="1:5" x14ac:dyDescent="0.2">
      <c r="A132" s="10" t="s">
        <v>135</v>
      </c>
      <c r="B132" s="24">
        <v>5204</v>
      </c>
      <c r="C132" s="24">
        <v>5386</v>
      </c>
      <c r="D132" s="41">
        <f t="shared" si="7"/>
        <v>3.4973097617217522E-2</v>
      </c>
      <c r="E132" s="2" t="s">
        <v>550</v>
      </c>
    </row>
    <row r="133" spans="1:5" x14ac:dyDescent="0.2">
      <c r="A133" s="10" t="s">
        <v>136</v>
      </c>
      <c r="B133" s="24">
        <v>1374</v>
      </c>
      <c r="C133" s="24">
        <v>1566</v>
      </c>
      <c r="D133" s="41">
        <f t="shared" si="7"/>
        <v>0.13973799126637554</v>
      </c>
      <c r="E133" s="2" t="s">
        <v>550</v>
      </c>
    </row>
    <row r="134" spans="1:5" s="2" customFormat="1" x14ac:dyDescent="0.2">
      <c r="A134" s="10" t="s">
        <v>621</v>
      </c>
      <c r="B134" s="24">
        <v>5184</v>
      </c>
      <c r="C134" s="24">
        <v>9000</v>
      </c>
      <c r="D134" s="41">
        <f t="shared" si="7"/>
        <v>0.73611111111111116</v>
      </c>
      <c r="E134" s="2" t="s">
        <v>550</v>
      </c>
    </row>
    <row r="135" spans="1:5" s="2" customFormat="1" ht="13.5" thickBot="1" x14ac:dyDescent="0.25">
      <c r="A135" s="40" t="s">
        <v>552</v>
      </c>
      <c r="B135" s="44">
        <f>SUM(B124:B134)</f>
        <v>44794</v>
      </c>
      <c r="C135" s="44">
        <f>SUM(C124:C134)</f>
        <v>48774</v>
      </c>
      <c r="D135" s="35">
        <f t="shared" si="7"/>
        <v>8.8851185426619642E-2</v>
      </c>
    </row>
    <row r="136" spans="1:5" s="788" customFormat="1" x14ac:dyDescent="0.2">
      <c r="A136" s="40"/>
      <c r="B136" s="56"/>
      <c r="C136" s="56"/>
      <c r="D136" s="42"/>
    </row>
    <row r="137" spans="1:5" s="788" customFormat="1" ht="13.5" thickBot="1" x14ac:dyDescent="0.25">
      <c r="A137" s="40" t="s">
        <v>496</v>
      </c>
      <c r="B137" s="56">
        <v>0</v>
      </c>
      <c r="C137" s="56">
        <v>2170</v>
      </c>
      <c r="D137" s="35"/>
    </row>
    <row r="138" spans="1:5" s="2" customFormat="1" x14ac:dyDescent="0.2">
      <c r="A138" s="10"/>
      <c r="B138" s="24"/>
      <c r="C138" s="24"/>
      <c r="D138" s="41"/>
    </row>
    <row r="139" spans="1:5" s="29" customFormat="1" ht="13.5" thickBot="1" x14ac:dyDescent="0.25">
      <c r="A139" s="39" t="s">
        <v>77</v>
      </c>
      <c r="B139" s="450">
        <f>B122+B135+B137</f>
        <v>54882</v>
      </c>
      <c r="C139" s="450">
        <f>C122+C135+C137</f>
        <v>61949</v>
      </c>
      <c r="D139" s="35">
        <f t="shared" si="7"/>
        <v>0.12876717320797346</v>
      </c>
    </row>
    <row r="141" spans="1:5" x14ac:dyDescent="0.2">
      <c r="A141" s="18" t="s">
        <v>57</v>
      </c>
    </row>
    <row r="142" spans="1:5" x14ac:dyDescent="0.2">
      <c r="A142" s="10" t="s">
        <v>137</v>
      </c>
      <c r="B142" s="24">
        <v>8066</v>
      </c>
      <c r="C142" s="24">
        <v>8432.0004000000008</v>
      </c>
      <c r="D142" s="41">
        <f t="shared" ref="D142:D156" si="8">(C142-B142)/B142</f>
        <v>4.5375700471113417E-2</v>
      </c>
    </row>
    <row r="143" spans="1:5" x14ac:dyDescent="0.2">
      <c r="A143" s="10" t="s">
        <v>138</v>
      </c>
      <c r="B143" s="24">
        <v>4495</v>
      </c>
      <c r="C143" s="24">
        <v>4905</v>
      </c>
      <c r="D143" s="41">
        <f t="shared" si="8"/>
        <v>9.1212458286985543E-2</v>
      </c>
    </row>
    <row r="144" spans="1:5" x14ac:dyDescent="0.2">
      <c r="A144" s="10" t="s">
        <v>139</v>
      </c>
      <c r="B144" s="24">
        <v>2724</v>
      </c>
      <c r="C144" s="24">
        <v>2724</v>
      </c>
      <c r="D144" s="41">
        <f t="shared" si="8"/>
        <v>0</v>
      </c>
    </row>
    <row r="145" spans="1:4" x14ac:dyDescent="0.2">
      <c r="A145" s="10" t="s">
        <v>140</v>
      </c>
      <c r="B145" s="24">
        <v>4569</v>
      </c>
      <c r="C145" s="24">
        <v>4569.9996000000001</v>
      </c>
      <c r="D145" s="41">
        <f t="shared" si="8"/>
        <v>2.1877872619831482E-4</v>
      </c>
    </row>
    <row r="146" spans="1:4" x14ac:dyDescent="0.2">
      <c r="A146" s="10" t="s">
        <v>141</v>
      </c>
      <c r="B146" s="24">
        <v>291</v>
      </c>
      <c r="C146" s="24">
        <v>132</v>
      </c>
      <c r="D146" s="41">
        <f t="shared" si="8"/>
        <v>-0.54639175257731953</v>
      </c>
    </row>
    <row r="147" spans="1:4" x14ac:dyDescent="0.2">
      <c r="A147" s="10" t="s">
        <v>142</v>
      </c>
      <c r="B147" s="24">
        <v>6934</v>
      </c>
      <c r="C147" s="24">
        <v>7443</v>
      </c>
      <c r="D147" s="41">
        <f t="shared" si="8"/>
        <v>7.3406403230458606E-2</v>
      </c>
    </row>
    <row r="148" spans="1:4" x14ac:dyDescent="0.2">
      <c r="A148" s="10" t="s">
        <v>143</v>
      </c>
      <c r="B148" s="24">
        <v>8674</v>
      </c>
      <c r="C148" s="24">
        <v>8673.9995999999992</v>
      </c>
      <c r="D148" s="41">
        <f t="shared" si="8"/>
        <v>-4.6114826009809373E-8</v>
      </c>
    </row>
    <row r="149" spans="1:4" x14ac:dyDescent="0.2">
      <c r="A149" s="10" t="s">
        <v>144</v>
      </c>
      <c r="B149" s="24">
        <v>10666</v>
      </c>
      <c r="C149" s="24">
        <v>10665.999599999999</v>
      </c>
      <c r="D149" s="41">
        <f t="shared" si="8"/>
        <v>-3.7502343972350129E-8</v>
      </c>
    </row>
    <row r="150" spans="1:4" x14ac:dyDescent="0.2">
      <c r="A150" s="31" t="s">
        <v>145</v>
      </c>
      <c r="B150" s="448">
        <v>16624</v>
      </c>
      <c r="C150" s="448">
        <v>19569.999599999999</v>
      </c>
      <c r="D150" s="32">
        <f t="shared" si="8"/>
        <v>0.17721364292589023</v>
      </c>
    </row>
    <row r="151" spans="1:4" x14ac:dyDescent="0.2">
      <c r="A151" s="40" t="s">
        <v>98</v>
      </c>
      <c r="B151" s="449">
        <f>SUM(B142:B150)</f>
        <v>63043</v>
      </c>
      <c r="C151" s="449">
        <f>SUM(C142:C150)</f>
        <v>67115.998799999987</v>
      </c>
      <c r="D151" s="42">
        <f t="shared" si="8"/>
        <v>6.4606677981694824E-2</v>
      </c>
    </row>
    <row r="152" spans="1:4" x14ac:dyDescent="0.2">
      <c r="A152" s="10" t="s">
        <v>146</v>
      </c>
      <c r="B152" s="24">
        <v>2170</v>
      </c>
      <c r="C152" s="24">
        <v>2339</v>
      </c>
      <c r="D152" s="41">
        <f t="shared" si="8"/>
        <v>7.7880184331797234E-2</v>
      </c>
    </row>
    <row r="153" spans="1:4" x14ac:dyDescent="0.2">
      <c r="A153" s="10" t="s">
        <v>147</v>
      </c>
      <c r="B153" s="24">
        <v>4470</v>
      </c>
      <c r="C153" s="24">
        <v>3805</v>
      </c>
      <c r="D153" s="41">
        <f t="shared" si="8"/>
        <v>-0.14876957494407159</v>
      </c>
    </row>
    <row r="154" spans="1:4" x14ac:dyDescent="0.2">
      <c r="A154" s="31" t="s">
        <v>148</v>
      </c>
      <c r="B154" s="448">
        <v>1358</v>
      </c>
      <c r="C154" s="448">
        <v>2638</v>
      </c>
      <c r="D154" s="32">
        <f t="shared" si="8"/>
        <v>0.94256259204712811</v>
      </c>
    </row>
    <row r="155" spans="1:4" s="18" customFormat="1" x14ac:dyDescent="0.2">
      <c r="A155" s="40" t="s">
        <v>105</v>
      </c>
      <c r="B155" s="449">
        <f>SUM(B152:B154)</f>
        <v>7998</v>
      </c>
      <c r="C155" s="449">
        <f>SUM(C152:C154)</f>
        <v>8782</v>
      </c>
      <c r="D155" s="42">
        <f t="shared" si="8"/>
        <v>9.802450612653163E-2</v>
      </c>
    </row>
    <row r="156" spans="1:4" ht="13.5" thickBot="1" x14ac:dyDescent="0.25">
      <c r="A156" s="39" t="s">
        <v>77</v>
      </c>
      <c r="B156" s="450">
        <f>B151+B155</f>
        <v>71041</v>
      </c>
      <c r="C156" s="450">
        <f>C151+C155</f>
        <v>75897.998799999987</v>
      </c>
      <c r="D156" s="35">
        <f t="shared" si="8"/>
        <v>6.8368953139736025E-2</v>
      </c>
    </row>
    <row r="158" spans="1:4" x14ac:dyDescent="0.2">
      <c r="A158" s="18" t="s">
        <v>58</v>
      </c>
    </row>
    <row r="159" spans="1:4" s="2" customFormat="1" x14ac:dyDescent="0.2">
      <c r="A159" s="3" t="s">
        <v>615</v>
      </c>
      <c r="B159" s="24">
        <v>479</v>
      </c>
      <c r="C159" s="24">
        <v>1488</v>
      </c>
      <c r="D159" s="41">
        <f t="shared" ref="D159:D167" si="9">(C159-B159)/B159</f>
        <v>2.1064718162839249</v>
      </c>
    </row>
    <row r="160" spans="1:4" s="2" customFormat="1" x14ac:dyDescent="0.2">
      <c r="A160" s="3" t="s">
        <v>616</v>
      </c>
      <c r="B160" s="24">
        <v>239</v>
      </c>
      <c r="C160" s="24">
        <v>583</v>
      </c>
      <c r="D160" s="41">
        <f t="shared" si="9"/>
        <v>1.4393305439330544</v>
      </c>
    </row>
    <row r="161" spans="1:4" x14ac:dyDescent="0.2">
      <c r="A161" s="10" t="s">
        <v>149</v>
      </c>
      <c r="B161" s="24">
        <v>31642</v>
      </c>
      <c r="C161" s="24">
        <v>33564.999600000003</v>
      </c>
      <c r="D161" s="41">
        <f t="shared" si="9"/>
        <v>6.0773642626888405E-2</v>
      </c>
    </row>
    <row r="162" spans="1:4" x14ac:dyDescent="0.2">
      <c r="A162" s="10" t="s">
        <v>150</v>
      </c>
      <c r="B162" s="24">
        <v>29598</v>
      </c>
      <c r="C162" s="24">
        <v>29825.000400000001</v>
      </c>
      <c r="D162" s="41">
        <f t="shared" si="9"/>
        <v>7.6694506385566862E-3</v>
      </c>
    </row>
    <row r="163" spans="1:4" x14ac:dyDescent="0.2">
      <c r="A163" s="10" t="s">
        <v>151</v>
      </c>
      <c r="B163" s="24">
        <v>985.5</v>
      </c>
      <c r="C163" s="24">
        <v>930.99959999999999</v>
      </c>
      <c r="D163" s="41">
        <f t="shared" si="9"/>
        <v>-5.5302283105022845E-2</v>
      </c>
    </row>
    <row r="164" spans="1:4" x14ac:dyDescent="0.2">
      <c r="A164" s="10" t="s">
        <v>152</v>
      </c>
      <c r="B164" s="24">
        <v>7064.5</v>
      </c>
      <c r="C164" s="24">
        <v>8423.0004000000008</v>
      </c>
      <c r="D164" s="41">
        <f t="shared" si="9"/>
        <v>0.19229958241913805</v>
      </c>
    </row>
    <row r="165" spans="1:4" x14ac:dyDescent="0.2">
      <c r="A165" s="10" t="s">
        <v>153</v>
      </c>
      <c r="B165" s="24">
        <v>3672.5</v>
      </c>
      <c r="C165" s="24">
        <v>4203.9996000000001</v>
      </c>
      <c r="D165" s="41">
        <f t="shared" si="9"/>
        <v>0.14472419332879513</v>
      </c>
    </row>
    <row r="166" spans="1:4" s="2" customFormat="1" x14ac:dyDescent="0.2">
      <c r="A166" s="10" t="s">
        <v>617</v>
      </c>
      <c r="B166" s="24">
        <v>1536</v>
      </c>
      <c r="C166" s="24">
        <v>0</v>
      </c>
      <c r="D166" s="41">
        <f t="shared" si="9"/>
        <v>-1</v>
      </c>
    </row>
    <row r="167" spans="1:4" s="33" customFormat="1" ht="13.5" thickBot="1" x14ac:dyDescent="0.25">
      <c r="A167" s="39" t="s">
        <v>77</v>
      </c>
      <c r="B167" s="450">
        <f>SUM(B159:B166)</f>
        <v>75216.5</v>
      </c>
      <c r="C167" s="450">
        <f>SUM(C159:C166)</f>
        <v>79018.999599999996</v>
      </c>
      <c r="D167" s="35">
        <f t="shared" si="9"/>
        <v>5.0554061941196354E-2</v>
      </c>
    </row>
    <row r="169" spans="1:4" x14ac:dyDescent="0.2">
      <c r="B169" s="103">
        <f>B10+B13+B25+B65+B70+B78+B91+B103+B115+B139+B156+B167</f>
        <v>774329.5</v>
      </c>
      <c r="C169" s="103">
        <f>C10+C13+C25+C65+C70+C78+C91+C103+C115+C139+C156+C167</f>
        <v>802432.99679999985</v>
      </c>
    </row>
  </sheetData>
  <printOptions gridLine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zoomScale="85" zoomScaleNormal="85" zoomScalePageLayoutView="85" workbookViewId="0">
      <pane ySplit="4" topLeftCell="A67" activePane="bottomLeft" state="frozen"/>
      <selection activeCell="C47" sqref="C47"/>
      <selection pane="bottomLeft" activeCell="I80" sqref="I80"/>
    </sheetView>
  </sheetViews>
  <sheetFormatPr defaultColWidth="8.7109375" defaultRowHeight="12.75" x14ac:dyDescent="0.2"/>
  <cols>
    <col min="1" max="2" width="27.28515625" style="9" customWidth="1"/>
    <col min="3" max="3" width="28" style="9" customWidth="1"/>
    <col min="4" max="4" width="10.28515625" style="9" bestFit="1" customWidth="1"/>
    <col min="5" max="10" width="10.42578125" style="2" customWidth="1"/>
    <col min="11" max="11" width="8.140625" style="2" customWidth="1"/>
    <col min="12" max="12" width="2.7109375" style="70" customWidth="1"/>
    <col min="13" max="13" width="32.42578125" style="70" bestFit="1" customWidth="1"/>
    <col min="14" max="14" width="10.5703125" style="70" bestFit="1" customWidth="1"/>
    <col min="15" max="15" width="13.5703125" style="70" customWidth="1"/>
    <col min="16" max="17" width="11.5703125" style="70" bestFit="1" customWidth="1"/>
    <col min="18" max="16384" width="8.7109375" style="70"/>
  </cols>
  <sheetData>
    <row r="1" spans="1:17" ht="15" x14ac:dyDescent="0.25">
      <c r="A1" s="465" t="s">
        <v>184</v>
      </c>
      <c r="B1" s="465"/>
      <c r="C1" s="465"/>
      <c r="D1" s="465"/>
      <c r="E1" s="466"/>
      <c r="F1" s="466"/>
      <c r="G1" s="466"/>
      <c r="H1" s="466"/>
      <c r="I1" s="466"/>
      <c r="J1" s="466"/>
    </row>
    <row r="2" spans="1:17" x14ac:dyDescent="0.2">
      <c r="A2" s="467">
        <v>43531</v>
      </c>
      <c r="B2" s="467"/>
    </row>
    <row r="3" spans="1:17" x14ac:dyDescent="0.2">
      <c r="A3" s="2"/>
      <c r="B3" s="2"/>
      <c r="D3" s="104" t="s">
        <v>185</v>
      </c>
      <c r="E3" s="104" t="s">
        <v>186</v>
      </c>
      <c r="F3" s="104" t="s">
        <v>187</v>
      </c>
      <c r="G3" s="104" t="s">
        <v>188</v>
      </c>
      <c r="H3" s="104" t="s">
        <v>189</v>
      </c>
      <c r="I3" s="104" t="s">
        <v>189</v>
      </c>
      <c r="J3" s="104" t="s">
        <v>637</v>
      </c>
      <c r="K3" s="104" t="s">
        <v>190</v>
      </c>
    </row>
    <row r="4" spans="1:17" x14ac:dyDescent="0.2">
      <c r="A4" s="468" t="s">
        <v>191</v>
      </c>
      <c r="B4" s="468" t="s">
        <v>192</v>
      </c>
      <c r="C4" s="468" t="s">
        <v>634</v>
      </c>
      <c r="D4" s="463" t="s">
        <v>193</v>
      </c>
      <c r="E4" s="463" t="s">
        <v>193</v>
      </c>
      <c r="F4" s="463" t="s">
        <v>193</v>
      </c>
      <c r="G4" s="463" t="s">
        <v>193</v>
      </c>
      <c r="H4" s="463" t="s">
        <v>635</v>
      </c>
      <c r="I4" s="463" t="s">
        <v>636</v>
      </c>
      <c r="J4" s="463" t="s">
        <v>636</v>
      </c>
      <c r="K4" s="463" t="s">
        <v>194</v>
      </c>
    </row>
    <row r="5" spans="1:17" x14ac:dyDescent="0.2">
      <c r="A5" s="469" t="s">
        <v>195</v>
      </c>
      <c r="B5" s="469"/>
      <c r="C5" s="470"/>
      <c r="D5" s="471"/>
      <c r="E5" s="471"/>
      <c r="F5" s="471"/>
      <c r="G5" s="471"/>
      <c r="H5" s="471"/>
      <c r="I5" s="471"/>
      <c r="J5" s="471"/>
      <c r="K5" s="471"/>
    </row>
    <row r="6" spans="1:17" x14ac:dyDescent="0.2">
      <c r="A6" s="10" t="s">
        <v>43</v>
      </c>
      <c r="B6" s="10" t="s">
        <v>638</v>
      </c>
      <c r="C6" s="40"/>
      <c r="D6" s="71">
        <v>539342.74562466145</v>
      </c>
      <c r="E6" s="71">
        <v>571880.0078125</v>
      </c>
      <c r="F6" s="71">
        <v>593616.84765625</v>
      </c>
      <c r="G6" s="71">
        <v>617259.07999999996</v>
      </c>
      <c r="H6" s="71"/>
      <c r="I6" s="71">
        <v>604484.5850000002</v>
      </c>
      <c r="J6" s="71">
        <v>632171.18000000017</v>
      </c>
      <c r="K6" s="73">
        <f>(J6-I6)/I6</f>
        <v>4.5801986828166948E-2</v>
      </c>
    </row>
    <row r="7" spans="1:17" x14ac:dyDescent="0.2">
      <c r="A7" s="27" t="s">
        <v>45</v>
      </c>
      <c r="B7" s="27" t="s">
        <v>638</v>
      </c>
      <c r="C7" s="27"/>
      <c r="D7" s="71">
        <v>23737.97998046875</v>
      </c>
      <c r="E7" s="71">
        <v>19799.869995117188</v>
      </c>
      <c r="F7" s="71">
        <v>16337.470097303391</v>
      </c>
      <c r="G7" s="71">
        <v>15512.69</v>
      </c>
      <c r="H7" s="71"/>
      <c r="I7" s="71">
        <v>19566.010000000002</v>
      </c>
      <c r="J7" s="71">
        <v>22695</v>
      </c>
      <c r="K7" s="73">
        <f>(J7-I7)/I7</f>
        <v>0.15991967703175036</v>
      </c>
    </row>
    <row r="8" spans="1:17" x14ac:dyDescent="0.2">
      <c r="A8" s="27" t="s">
        <v>198</v>
      </c>
      <c r="B8" s="27" t="s">
        <v>639</v>
      </c>
      <c r="C8" s="27"/>
      <c r="D8" s="71">
        <v>193044.01837790012</v>
      </c>
      <c r="E8" s="71">
        <v>208483.53872191906</v>
      </c>
      <c r="F8" s="71">
        <v>211180.14984893799</v>
      </c>
      <c r="G8" s="71">
        <v>236755.29999999996</v>
      </c>
      <c r="H8" s="71"/>
      <c r="I8" s="71">
        <v>237390</v>
      </c>
      <c r="J8" s="71">
        <v>237390</v>
      </c>
      <c r="K8" s="73">
        <f>(J8-I8)/I8</f>
        <v>0</v>
      </c>
    </row>
    <row r="9" spans="1:17" x14ac:dyDescent="0.2">
      <c r="A9" s="27" t="s">
        <v>199</v>
      </c>
      <c r="B9" s="27" t="s">
        <v>640</v>
      </c>
      <c r="C9" s="27"/>
      <c r="D9" s="71">
        <v>106378.69939613342</v>
      </c>
      <c r="E9" s="71">
        <v>111703.9699203968</v>
      </c>
      <c r="F9" s="71">
        <v>108520.13915061951</v>
      </c>
      <c r="G9" s="71">
        <v>112188.92999999998</v>
      </c>
      <c r="H9" s="71"/>
      <c r="I9" s="71">
        <v>114395.10999999999</v>
      </c>
      <c r="J9" s="71">
        <v>117169</v>
      </c>
      <c r="K9" s="73">
        <f>(J9-I9)/I9</f>
        <v>2.424832669858016E-2</v>
      </c>
    </row>
    <row r="10" spans="1:17" x14ac:dyDescent="0.2">
      <c r="A10" s="27"/>
      <c r="B10" s="27"/>
      <c r="C10" s="27"/>
      <c r="D10" s="74"/>
      <c r="E10" s="74"/>
      <c r="F10" s="74"/>
      <c r="G10" s="74"/>
      <c r="H10" s="74"/>
      <c r="I10" s="74"/>
      <c r="J10" s="74"/>
      <c r="K10" s="75"/>
    </row>
    <row r="11" spans="1:17" x14ac:dyDescent="0.2">
      <c r="A11" s="27" t="s">
        <v>48</v>
      </c>
      <c r="B11" s="27"/>
      <c r="C11" s="472" t="s">
        <v>200</v>
      </c>
      <c r="D11" s="76">
        <v>2188.6800231933594</v>
      </c>
      <c r="E11" s="76">
        <v>1978.7099914550781</v>
      </c>
      <c r="F11" s="76">
        <v>2592.8099975585938</v>
      </c>
      <c r="G11" s="76">
        <v>4402.6099999999997</v>
      </c>
      <c r="H11" s="76"/>
      <c r="I11" s="76">
        <v>4403</v>
      </c>
      <c r="J11" s="76">
        <v>4402.9999999999991</v>
      </c>
      <c r="K11" s="78"/>
      <c r="P11" s="71"/>
      <c r="Q11" s="71"/>
    </row>
    <row r="12" spans="1:17" x14ac:dyDescent="0.2">
      <c r="A12" s="2"/>
      <c r="B12" s="2"/>
      <c r="C12" s="472" t="s">
        <v>201</v>
      </c>
      <c r="D12" s="76">
        <v>2745.1800155639648</v>
      </c>
      <c r="E12" s="76">
        <v>2971.0099792480469</v>
      </c>
      <c r="F12" s="76">
        <v>3006.1800155639648</v>
      </c>
      <c r="G12" s="76">
        <v>2606.5399999999995</v>
      </c>
      <c r="H12" s="76"/>
      <c r="I12" s="76">
        <v>541.00000000000011</v>
      </c>
      <c r="J12" s="76">
        <v>541.00000000000023</v>
      </c>
      <c r="K12" s="78"/>
      <c r="P12" s="71"/>
      <c r="Q12" s="71"/>
    </row>
    <row r="13" spans="1:17" x14ac:dyDescent="0.2">
      <c r="A13" s="2"/>
      <c r="B13" s="2"/>
      <c r="C13" s="472" t="s">
        <v>202</v>
      </c>
      <c r="D13" s="76">
        <v>13363.099975585938</v>
      </c>
      <c r="E13" s="76">
        <v>11580.229858398438</v>
      </c>
      <c r="F13" s="76">
        <v>10662.399841308594</v>
      </c>
      <c r="G13" s="76">
        <v>11290.11</v>
      </c>
      <c r="H13" s="76"/>
      <c r="I13" s="76">
        <v>12854</v>
      </c>
      <c r="J13" s="76">
        <v>14410</v>
      </c>
      <c r="K13" s="78"/>
      <c r="P13" s="71"/>
      <c r="Q13" s="71"/>
    </row>
    <row r="14" spans="1:17" x14ac:dyDescent="0.2">
      <c r="A14" s="2"/>
      <c r="B14" s="2"/>
      <c r="C14" s="472" t="s">
        <v>203</v>
      </c>
      <c r="D14" s="76">
        <v>0</v>
      </c>
      <c r="E14" s="76">
        <v>136.8999981880188</v>
      </c>
      <c r="F14" s="76">
        <v>6.8899998664855957</v>
      </c>
      <c r="G14" s="76">
        <v>0</v>
      </c>
      <c r="H14" s="76"/>
      <c r="I14" s="76">
        <v>109.35999999999997</v>
      </c>
      <c r="J14" s="76">
        <v>109</v>
      </c>
      <c r="K14" s="78"/>
      <c r="P14" s="71"/>
      <c r="Q14" s="71"/>
    </row>
    <row r="15" spans="1:17" x14ac:dyDescent="0.2">
      <c r="A15" s="2"/>
      <c r="B15" s="2"/>
      <c r="C15" s="472" t="s">
        <v>204</v>
      </c>
      <c r="D15" s="76">
        <v>5040.6700439453125</v>
      </c>
      <c r="E15" s="76">
        <v>4730.5600280761719</v>
      </c>
      <c r="F15" s="76">
        <v>5372.8099975585938</v>
      </c>
      <c r="G15" s="76">
        <v>5332.16</v>
      </c>
      <c r="H15" s="76"/>
      <c r="I15" s="76">
        <v>5442.9999999999982</v>
      </c>
      <c r="J15" s="76">
        <v>5443</v>
      </c>
      <c r="K15" s="78"/>
      <c r="P15" s="71"/>
      <c r="Q15" s="71"/>
    </row>
    <row r="16" spans="1:17" x14ac:dyDescent="0.2">
      <c r="A16" s="2"/>
      <c r="B16" s="2"/>
      <c r="C16" s="472" t="s">
        <v>205</v>
      </c>
      <c r="D16" s="76">
        <v>4352.2900848388672</v>
      </c>
      <c r="E16" s="76">
        <v>4399.4199981689453</v>
      </c>
      <c r="F16" s="76">
        <v>4142.7099761962891</v>
      </c>
      <c r="G16" s="76">
        <v>3654.52</v>
      </c>
      <c r="H16" s="76"/>
      <c r="I16" s="76">
        <v>6004.5</v>
      </c>
      <c r="J16" s="76">
        <v>6004.5</v>
      </c>
      <c r="K16" s="78"/>
      <c r="P16" s="71"/>
      <c r="Q16" s="71"/>
    </row>
    <row r="17" spans="1:17" x14ac:dyDescent="0.2">
      <c r="A17" s="2"/>
      <c r="B17" s="2"/>
      <c r="C17" s="472" t="s">
        <v>206</v>
      </c>
      <c r="D17" s="76">
        <v>35565.760009765625</v>
      </c>
      <c r="E17" s="76">
        <v>37346.55029296875</v>
      </c>
      <c r="F17" s="76">
        <v>34957.4697265625</v>
      </c>
      <c r="G17" s="76">
        <v>35052.910000000003</v>
      </c>
      <c r="H17" s="76"/>
      <c r="I17" s="76">
        <v>33496</v>
      </c>
      <c r="J17" s="76">
        <v>31990</v>
      </c>
      <c r="K17" s="78"/>
      <c r="P17" s="71"/>
      <c r="Q17" s="71"/>
    </row>
    <row r="18" spans="1:17" x14ac:dyDescent="0.2">
      <c r="A18" s="2"/>
      <c r="B18" s="2"/>
      <c r="C18" s="473" t="s">
        <v>255</v>
      </c>
      <c r="D18" s="76">
        <v>0</v>
      </c>
      <c r="E18" s="76">
        <v>0</v>
      </c>
      <c r="F18" s="76">
        <v>0</v>
      </c>
      <c r="G18" s="76">
        <v>0</v>
      </c>
      <c r="H18" s="76"/>
      <c r="I18" s="76">
        <v>0</v>
      </c>
      <c r="J18" s="76">
        <v>3319</v>
      </c>
      <c r="K18" s="78"/>
      <c r="P18" s="71"/>
      <c r="Q18" s="71"/>
    </row>
    <row r="19" spans="1:17" x14ac:dyDescent="0.2">
      <c r="A19" s="2"/>
      <c r="B19" s="2"/>
      <c r="C19" s="472" t="s">
        <v>207</v>
      </c>
      <c r="D19" s="76">
        <v>9083.6999206542969</v>
      </c>
      <c r="E19" s="76">
        <v>13750.409973144531</v>
      </c>
      <c r="F19" s="76">
        <v>12798.130096435547</v>
      </c>
      <c r="G19" s="76">
        <v>12228.91</v>
      </c>
      <c r="H19" s="76"/>
      <c r="I19" s="76">
        <v>8843</v>
      </c>
      <c r="J19" s="76">
        <v>8843</v>
      </c>
      <c r="K19" s="78"/>
      <c r="P19" s="71"/>
      <c r="Q19" s="71"/>
    </row>
    <row r="20" spans="1:17" x14ac:dyDescent="0.2">
      <c r="A20" s="2"/>
      <c r="B20" s="2"/>
      <c r="C20" s="472" t="s">
        <v>208</v>
      </c>
      <c r="D20" s="76">
        <v>0</v>
      </c>
      <c r="E20" s="76">
        <v>0</v>
      </c>
      <c r="F20" s="76">
        <v>308.02999472618103</v>
      </c>
      <c r="G20" s="76">
        <v>58.340000000000032</v>
      </c>
      <c r="H20" s="76"/>
      <c r="I20" s="76">
        <v>-208.37</v>
      </c>
      <c r="J20" s="76">
        <v>0</v>
      </c>
      <c r="K20" s="78"/>
      <c r="P20" s="71"/>
      <c r="Q20" s="71"/>
    </row>
    <row r="21" spans="1:17" x14ac:dyDescent="0.2">
      <c r="A21" s="2"/>
      <c r="B21" s="2"/>
      <c r="C21" s="472" t="s">
        <v>198</v>
      </c>
      <c r="D21" s="76">
        <v>0</v>
      </c>
      <c r="E21" s="76">
        <v>0</v>
      </c>
      <c r="F21" s="76">
        <v>257.45999646186829</v>
      </c>
      <c r="G21" s="76">
        <v>255.10999999999999</v>
      </c>
      <c r="H21" s="76"/>
      <c r="I21" s="76">
        <v>31.300000000000011</v>
      </c>
      <c r="J21" s="76">
        <v>0</v>
      </c>
      <c r="K21" s="78"/>
      <c r="P21" s="71"/>
      <c r="Q21" s="71"/>
    </row>
    <row r="22" spans="1:17" x14ac:dyDescent="0.2">
      <c r="A22" s="2"/>
      <c r="B22" s="2"/>
      <c r="C22" s="472" t="s">
        <v>209</v>
      </c>
      <c r="D22" s="76">
        <v>5763.8699951171875</v>
      </c>
      <c r="E22" s="76">
        <v>5520.6600646972656</v>
      </c>
      <c r="F22" s="76">
        <v>5718.4400024414063</v>
      </c>
      <c r="G22" s="76">
        <v>5932.06</v>
      </c>
      <c r="H22" s="76"/>
      <c r="I22" s="76">
        <v>5644.5199999999995</v>
      </c>
      <c r="J22" s="76">
        <v>5645</v>
      </c>
      <c r="K22" s="78"/>
      <c r="P22" s="71"/>
      <c r="Q22" s="71"/>
    </row>
    <row r="23" spans="1:17" x14ac:dyDescent="0.2">
      <c r="A23" s="2"/>
      <c r="B23" s="2"/>
      <c r="C23" s="472" t="s">
        <v>210</v>
      </c>
      <c r="D23" s="76">
        <v>6.130000114440918</v>
      </c>
      <c r="E23" s="76">
        <v>617.01999235153198</v>
      </c>
      <c r="F23" s="76">
        <v>1736.4700222015381</v>
      </c>
      <c r="G23" s="76">
        <v>3160.5299999999993</v>
      </c>
      <c r="H23" s="76"/>
      <c r="I23" s="76">
        <v>1594</v>
      </c>
      <c r="J23" s="76">
        <v>0</v>
      </c>
      <c r="K23" s="78"/>
      <c r="P23" s="71"/>
      <c r="Q23" s="71"/>
    </row>
    <row r="24" spans="1:17" x14ac:dyDescent="0.2">
      <c r="A24" s="2"/>
      <c r="B24" s="2"/>
      <c r="C24" s="472" t="s">
        <v>211</v>
      </c>
      <c r="D24" s="76">
        <v>58783.539794921875</v>
      </c>
      <c r="E24" s="76">
        <v>51213.7197265625</v>
      </c>
      <c r="F24" s="76">
        <v>60859.9599609375</v>
      </c>
      <c r="G24" s="76">
        <v>71360.92</v>
      </c>
      <c r="H24" s="76"/>
      <c r="I24" s="76">
        <v>67465.600000000006</v>
      </c>
      <c r="J24" s="76">
        <v>68482</v>
      </c>
      <c r="K24" s="78"/>
      <c r="P24" s="71"/>
      <c r="Q24" s="71"/>
    </row>
    <row r="25" spans="1:17" x14ac:dyDescent="0.2">
      <c r="A25" s="2"/>
      <c r="B25" s="2"/>
      <c r="C25" s="472" t="s">
        <v>212</v>
      </c>
      <c r="D25" s="76">
        <v>0</v>
      </c>
      <c r="E25" s="76">
        <v>0</v>
      </c>
      <c r="F25" s="76">
        <v>129.39000105857849</v>
      </c>
      <c r="G25" s="76">
        <v>0</v>
      </c>
      <c r="H25" s="76"/>
      <c r="I25" s="76">
        <v>0</v>
      </c>
      <c r="J25" s="76">
        <v>0</v>
      </c>
      <c r="K25" s="78"/>
      <c r="P25" s="71"/>
      <c r="Q25" s="71"/>
    </row>
    <row r="26" spans="1:17" x14ac:dyDescent="0.2">
      <c r="A26" s="2"/>
      <c r="B26" s="2"/>
      <c r="C26" s="472" t="s">
        <v>213</v>
      </c>
      <c r="D26" s="76">
        <v>1225.0299835205078</v>
      </c>
      <c r="E26" s="76">
        <v>2184.0400161743164</v>
      </c>
      <c r="F26" s="76">
        <v>4432.5499572753906</v>
      </c>
      <c r="G26" s="76">
        <v>5600.21</v>
      </c>
      <c r="H26" s="76"/>
      <c r="I26" s="76">
        <v>3077.0000000000005</v>
      </c>
      <c r="J26" s="76">
        <v>2833</v>
      </c>
      <c r="K26" s="78"/>
      <c r="P26" s="71"/>
      <c r="Q26" s="71"/>
    </row>
    <row r="27" spans="1:17" x14ac:dyDescent="0.2">
      <c r="A27" s="2"/>
      <c r="B27" s="2"/>
      <c r="C27" s="472" t="s">
        <v>214</v>
      </c>
      <c r="D27" s="76">
        <v>0</v>
      </c>
      <c r="E27" s="76">
        <v>0</v>
      </c>
      <c r="F27" s="76">
        <v>24.729999840259552</v>
      </c>
      <c r="G27" s="76">
        <v>-19.220000000000002</v>
      </c>
      <c r="H27" s="76"/>
      <c r="I27" s="76">
        <v>0</v>
      </c>
      <c r="J27" s="76">
        <v>0</v>
      </c>
      <c r="K27" s="78"/>
      <c r="P27" s="71"/>
      <c r="Q27" s="71"/>
    </row>
    <row r="28" spans="1:17" x14ac:dyDescent="0.2">
      <c r="A28" s="2"/>
      <c r="B28" s="2"/>
      <c r="C28" s="472" t="s">
        <v>215</v>
      </c>
      <c r="D28" s="76">
        <v>64426.57080078125</v>
      </c>
      <c r="E28" s="76">
        <v>71767.5703125</v>
      </c>
      <c r="F28" s="76">
        <v>66936.030517578125</v>
      </c>
      <c r="G28" s="76">
        <v>80142.220000000016</v>
      </c>
      <c r="H28" s="76"/>
      <c r="I28" s="76">
        <v>82011</v>
      </c>
      <c r="J28" s="76">
        <v>87018</v>
      </c>
      <c r="K28" s="78"/>
      <c r="P28" s="71"/>
      <c r="Q28" s="71"/>
    </row>
    <row r="29" spans="1:17" x14ac:dyDescent="0.2">
      <c r="A29" s="2"/>
      <c r="B29" s="2"/>
      <c r="C29" s="472" t="s">
        <v>216</v>
      </c>
      <c r="D29" s="76">
        <v>7053.6299133300781</v>
      </c>
      <c r="E29" s="76">
        <v>7009.9099426269531</v>
      </c>
      <c r="F29" s="76">
        <v>8264.2599487304688</v>
      </c>
      <c r="G29" s="76">
        <v>8114.9800000000014</v>
      </c>
      <c r="H29" s="76"/>
      <c r="I29" s="76">
        <v>8299.4000000000033</v>
      </c>
      <c r="J29" s="76">
        <v>10123</v>
      </c>
      <c r="K29" s="78"/>
      <c r="P29" s="71"/>
      <c r="Q29" s="71"/>
    </row>
    <row r="30" spans="1:17" x14ac:dyDescent="0.2">
      <c r="A30" s="2"/>
      <c r="B30" s="2"/>
      <c r="C30" s="472" t="s">
        <v>217</v>
      </c>
      <c r="D30" s="76">
        <v>40561.990234375</v>
      </c>
      <c r="E30" s="76">
        <v>40698.050537109375</v>
      </c>
      <c r="F30" s="76">
        <v>41615.669921875</v>
      </c>
      <c r="G30" s="76">
        <v>38945.94</v>
      </c>
      <c r="H30" s="76"/>
      <c r="I30" s="76">
        <v>38305</v>
      </c>
      <c r="J30" s="76">
        <v>39663</v>
      </c>
      <c r="K30" s="78"/>
      <c r="P30" s="71"/>
      <c r="Q30" s="71"/>
    </row>
    <row r="31" spans="1:17" x14ac:dyDescent="0.2">
      <c r="C31" s="472" t="s">
        <v>218</v>
      </c>
      <c r="D31" s="76">
        <v>49731.83984375</v>
      </c>
      <c r="E31" s="76">
        <v>50976.780029296875</v>
      </c>
      <c r="F31" s="76">
        <v>49116.84033203125</v>
      </c>
      <c r="G31" s="76">
        <v>49308.86</v>
      </c>
      <c r="H31" s="76"/>
      <c r="I31" s="76">
        <v>49584.47</v>
      </c>
      <c r="J31" s="76">
        <v>53494</v>
      </c>
      <c r="K31" s="78"/>
    </row>
    <row r="32" spans="1:17" x14ac:dyDescent="0.2">
      <c r="C32" s="472" t="s">
        <v>49</v>
      </c>
      <c r="D32" s="76">
        <v>0</v>
      </c>
      <c r="E32" s="76">
        <v>4.9000000953674316</v>
      </c>
      <c r="F32" s="76">
        <v>0</v>
      </c>
      <c r="G32" s="76">
        <v>0</v>
      </c>
      <c r="H32" s="76"/>
      <c r="I32" s="76">
        <v>0</v>
      </c>
      <c r="J32" s="76">
        <v>0</v>
      </c>
      <c r="K32" s="78"/>
      <c r="P32" s="71"/>
      <c r="Q32" s="71"/>
    </row>
    <row r="33" spans="1:17" x14ac:dyDescent="0.2">
      <c r="C33" s="472" t="s">
        <v>219</v>
      </c>
      <c r="D33" s="76">
        <v>0</v>
      </c>
      <c r="E33" s="76">
        <v>24.079999685287476</v>
      </c>
      <c r="F33" s="76">
        <v>0</v>
      </c>
      <c r="G33" s="76">
        <v>0</v>
      </c>
      <c r="H33" s="76"/>
      <c r="I33" s="76">
        <v>0</v>
      </c>
      <c r="J33" s="76">
        <v>0</v>
      </c>
      <c r="K33" s="78"/>
      <c r="P33" s="71"/>
      <c r="Q33" s="71"/>
    </row>
    <row r="34" spans="1:17" x14ac:dyDescent="0.2">
      <c r="C34" s="472" t="s">
        <v>220</v>
      </c>
      <c r="D34" s="76">
        <v>2732.5299911499023</v>
      </c>
      <c r="E34" s="76">
        <v>2227.3000030517578</v>
      </c>
      <c r="F34" s="76">
        <v>3571.9200592041016</v>
      </c>
      <c r="G34" s="76">
        <v>5431.93</v>
      </c>
      <c r="H34" s="76"/>
      <c r="I34" s="76">
        <v>6348.9999999999982</v>
      </c>
      <c r="J34" s="76">
        <v>8249</v>
      </c>
      <c r="K34" s="78"/>
      <c r="P34" s="71"/>
      <c r="Q34" s="71"/>
    </row>
    <row r="35" spans="1:17" x14ac:dyDescent="0.2">
      <c r="C35" s="474" t="s">
        <v>245</v>
      </c>
      <c r="D35" s="76">
        <v>0</v>
      </c>
      <c r="E35" s="76">
        <v>0</v>
      </c>
      <c r="F35" s="76">
        <v>0</v>
      </c>
      <c r="G35" s="76">
        <v>71.740000000000009</v>
      </c>
      <c r="H35" s="76"/>
      <c r="I35" s="76">
        <v>44</v>
      </c>
      <c r="J35" s="76">
        <f t="shared" ref="J35" si="0">R31</f>
        <v>0</v>
      </c>
      <c r="K35" s="78"/>
      <c r="P35" s="71"/>
      <c r="Q35" s="71"/>
    </row>
    <row r="36" spans="1:17" x14ac:dyDescent="0.2">
      <c r="A36" s="2"/>
      <c r="B36" s="2"/>
      <c r="C36" s="472" t="s">
        <v>55</v>
      </c>
      <c r="D36" s="76">
        <v>78.769999980926514</v>
      </c>
      <c r="E36" s="76">
        <v>32.930000305175781</v>
      </c>
      <c r="F36" s="76">
        <v>0</v>
      </c>
      <c r="G36" s="76">
        <v>0</v>
      </c>
      <c r="H36" s="76"/>
      <c r="I36" s="76">
        <v>0</v>
      </c>
      <c r="J36" s="76">
        <v>0</v>
      </c>
      <c r="K36" s="78"/>
      <c r="P36" s="71"/>
      <c r="Q36" s="71"/>
    </row>
    <row r="37" spans="1:17" x14ac:dyDescent="0.2">
      <c r="A37" s="2"/>
      <c r="B37" s="2"/>
      <c r="C37" s="472" t="s">
        <v>221</v>
      </c>
      <c r="D37" s="76">
        <v>36264.0595703125</v>
      </c>
      <c r="E37" s="76">
        <v>32923.02978515625</v>
      </c>
      <c r="F37" s="76">
        <v>39344.570556640625</v>
      </c>
      <c r="G37" s="76">
        <v>43198.42</v>
      </c>
      <c r="H37" s="76"/>
      <c r="I37" s="76">
        <v>45518</v>
      </c>
      <c r="J37" s="76">
        <v>43263</v>
      </c>
      <c r="K37" s="78"/>
      <c r="P37" s="71"/>
      <c r="Q37" s="71"/>
    </row>
    <row r="38" spans="1:17" x14ac:dyDescent="0.2">
      <c r="A38" s="2"/>
      <c r="B38" s="2"/>
      <c r="C38" s="472" t="s">
        <v>222</v>
      </c>
      <c r="D38" s="76">
        <v>8461.0098876953125</v>
      </c>
      <c r="E38" s="76">
        <v>8774.010009765625</v>
      </c>
      <c r="F38" s="76">
        <v>8349.4600219726563</v>
      </c>
      <c r="G38" s="76">
        <v>7130.5000000000018</v>
      </c>
      <c r="H38" s="76"/>
      <c r="I38" s="76">
        <v>5971</v>
      </c>
      <c r="J38" s="76">
        <v>6214</v>
      </c>
      <c r="K38" s="78"/>
      <c r="P38" s="71"/>
      <c r="Q38" s="71"/>
    </row>
    <row r="39" spans="1:17" x14ac:dyDescent="0.2">
      <c r="A39" s="2"/>
      <c r="B39" s="2"/>
      <c r="C39" s="472" t="s">
        <v>223</v>
      </c>
      <c r="D39" s="76">
        <v>0</v>
      </c>
      <c r="E39" s="76">
        <v>0</v>
      </c>
      <c r="F39" s="76">
        <v>73.310002207756042</v>
      </c>
      <c r="G39" s="76">
        <v>0</v>
      </c>
      <c r="H39" s="76"/>
      <c r="I39" s="76">
        <v>0</v>
      </c>
      <c r="J39" s="76">
        <v>0</v>
      </c>
      <c r="K39" s="78"/>
      <c r="P39" s="71"/>
      <c r="Q39" s="71"/>
    </row>
    <row r="40" spans="1:17" x14ac:dyDescent="0.2">
      <c r="A40" s="2"/>
      <c r="B40" s="2"/>
      <c r="C40" s="472" t="s">
        <v>224</v>
      </c>
      <c r="D40" s="76"/>
      <c r="E40" s="76"/>
      <c r="F40" s="76">
        <v>32.000000715255737</v>
      </c>
      <c r="G40" s="76">
        <v>-20.309999999999999</v>
      </c>
      <c r="H40" s="76"/>
      <c r="I40" s="76">
        <v>0</v>
      </c>
      <c r="J40" s="76">
        <v>0</v>
      </c>
      <c r="K40" s="78"/>
      <c r="P40" s="71"/>
      <c r="Q40" s="71"/>
    </row>
    <row r="41" spans="1:17" x14ac:dyDescent="0.2">
      <c r="A41" s="2"/>
      <c r="B41" s="2"/>
      <c r="C41" s="475" t="s">
        <v>225</v>
      </c>
      <c r="D41" s="79">
        <v>0.47999998927116394</v>
      </c>
      <c r="E41" s="80">
        <v>0</v>
      </c>
      <c r="F41" s="80">
        <v>0</v>
      </c>
      <c r="G41" s="80">
        <v>1.39</v>
      </c>
      <c r="H41" s="80"/>
      <c r="I41" s="80">
        <v>0</v>
      </c>
      <c r="J41" s="80">
        <v>0</v>
      </c>
      <c r="K41" s="82"/>
      <c r="P41" s="71"/>
      <c r="Q41" s="71"/>
    </row>
    <row r="42" spans="1:17" x14ac:dyDescent="0.2">
      <c r="A42" s="10"/>
      <c r="B42" s="10" t="s">
        <v>640</v>
      </c>
      <c r="C42" s="10" t="s">
        <v>226</v>
      </c>
      <c r="D42" s="71">
        <f t="shared" ref="D42:F42" si="1">SUM(D11:D41)</f>
        <v>347428.83008858562</v>
      </c>
      <c r="E42" s="71">
        <f t="shared" si="1"/>
        <v>350867.79053902626</v>
      </c>
      <c r="F42" s="71">
        <f t="shared" si="1"/>
        <v>364310.49094694853</v>
      </c>
      <c r="G42" s="71">
        <f>SUM(G11:G41)</f>
        <v>393241.37999999995</v>
      </c>
      <c r="H42" s="71"/>
      <c r="I42" s="71">
        <f t="shared" ref="I42" si="2">SUM(I11:I41)</f>
        <v>385379.78</v>
      </c>
      <c r="J42" s="71">
        <v>400048</v>
      </c>
      <c r="K42" s="73">
        <f>(J42-I42)/I42</f>
        <v>3.8061727057916661E-2</v>
      </c>
      <c r="P42" s="71"/>
      <c r="Q42" s="71"/>
    </row>
    <row r="43" spans="1:17" x14ac:dyDescent="0.2">
      <c r="A43" s="10"/>
      <c r="B43" s="10"/>
      <c r="D43" s="2"/>
      <c r="P43" s="71"/>
      <c r="Q43" s="71"/>
    </row>
    <row r="44" spans="1:17" x14ac:dyDescent="0.2">
      <c r="A44" s="10" t="s">
        <v>49</v>
      </c>
      <c r="B44" s="10" t="s">
        <v>640</v>
      </c>
      <c r="D44" s="71">
        <v>52948.530264884233</v>
      </c>
      <c r="E44" s="71">
        <v>54333.04052734375</v>
      </c>
      <c r="F44" s="71">
        <v>52856.279952049255</v>
      </c>
      <c r="G44" s="71">
        <v>63429.259999999995</v>
      </c>
      <c r="H44" s="71"/>
      <c r="I44" s="71">
        <v>72256.059999999983</v>
      </c>
      <c r="J44" s="71">
        <v>85903.799999999988</v>
      </c>
      <c r="K44" s="73">
        <f>(J44-I44)/I44</f>
        <v>0.18888021295376484</v>
      </c>
      <c r="P44" s="71"/>
      <c r="Q44" s="71"/>
    </row>
    <row r="45" spans="1:17" x14ac:dyDescent="0.2">
      <c r="A45" s="10" t="s">
        <v>50</v>
      </c>
      <c r="B45" s="10" t="s">
        <v>638</v>
      </c>
      <c r="D45" s="71">
        <v>79665.701498508453</v>
      </c>
      <c r="E45" s="71">
        <v>82812.270520761609</v>
      </c>
      <c r="F45" s="71">
        <v>94605.74057662487</v>
      </c>
      <c r="G45" s="71">
        <v>88421.94</v>
      </c>
      <c r="H45" s="71"/>
      <c r="I45" s="71">
        <v>72190</v>
      </c>
      <c r="J45" s="71">
        <v>73468</v>
      </c>
      <c r="K45" s="73">
        <f>(J45-I45)/I45</f>
        <v>1.7703283003186038E-2</v>
      </c>
      <c r="P45" s="71"/>
      <c r="Q45" s="71"/>
    </row>
    <row r="46" spans="1:17" x14ac:dyDescent="0.2">
      <c r="A46" s="10" t="s">
        <v>227</v>
      </c>
      <c r="B46" s="10" t="s">
        <v>641</v>
      </c>
      <c r="D46" s="71">
        <v>128804.8896241188</v>
      </c>
      <c r="E46" s="71">
        <v>116198.15997290611</v>
      </c>
      <c r="F46" s="71">
        <v>110639.57010048628</v>
      </c>
      <c r="G46" s="71">
        <v>113884.41</v>
      </c>
      <c r="H46" s="71"/>
      <c r="I46" s="71">
        <v>112106.97</v>
      </c>
      <c r="J46" s="71">
        <v>123332.08999999998</v>
      </c>
      <c r="K46" s="73">
        <f>(J46-I46)/I46</f>
        <v>0.10012865390974335</v>
      </c>
      <c r="P46" s="71"/>
      <c r="Q46" s="71"/>
    </row>
    <row r="47" spans="1:17" x14ac:dyDescent="0.2">
      <c r="A47" s="10"/>
      <c r="B47" s="10"/>
      <c r="D47" s="83"/>
      <c r="E47" s="83"/>
      <c r="F47" s="83"/>
      <c r="G47" s="83"/>
      <c r="H47" s="83"/>
      <c r="I47" s="83"/>
      <c r="J47" s="83"/>
      <c r="K47" s="84"/>
      <c r="P47" s="71"/>
      <c r="Q47" s="71"/>
    </row>
    <row r="48" spans="1:17" x14ac:dyDescent="0.2">
      <c r="A48" s="10" t="s">
        <v>52</v>
      </c>
      <c r="B48" s="10" t="s">
        <v>641</v>
      </c>
      <c r="C48" s="476" t="s">
        <v>229</v>
      </c>
      <c r="D48" s="76">
        <v>30031.2001953125</v>
      </c>
      <c r="E48" s="76">
        <v>25289.670043945313</v>
      </c>
      <c r="F48" s="76">
        <v>24132.81982421875</v>
      </c>
      <c r="G48" s="76">
        <v>24843.16</v>
      </c>
      <c r="H48" s="76"/>
      <c r="I48" s="76">
        <v>28787.340000000004</v>
      </c>
      <c r="J48" s="76">
        <v>28787.299999999992</v>
      </c>
      <c r="K48" s="85"/>
      <c r="P48" s="71"/>
      <c r="Q48" s="71"/>
    </row>
    <row r="49" spans="1:17" x14ac:dyDescent="0.2">
      <c r="A49" s="10"/>
      <c r="B49" s="9" t="s">
        <v>638</v>
      </c>
      <c r="C49" s="476" t="s">
        <v>230</v>
      </c>
      <c r="D49" s="80">
        <v>120172.68935269117</v>
      </c>
      <c r="E49" s="80">
        <v>123141.65049099922</v>
      </c>
      <c r="F49" s="80">
        <v>132661.59909448028</v>
      </c>
      <c r="G49" s="80">
        <v>137814.84</v>
      </c>
      <c r="H49" s="80"/>
      <c r="I49" s="80">
        <v>147463.07666666663</v>
      </c>
      <c r="J49" s="80">
        <v>150987.41</v>
      </c>
      <c r="K49" s="86"/>
      <c r="P49" s="71"/>
      <c r="Q49" s="71"/>
    </row>
    <row r="50" spans="1:17" x14ac:dyDescent="0.2">
      <c r="C50" s="10" t="s">
        <v>231</v>
      </c>
      <c r="D50" s="71">
        <f>SUM(D48:D49)</f>
        <v>150203.88954800367</v>
      </c>
      <c r="E50" s="71">
        <f t="shared" ref="E50:F50" si="3">SUM(E48:E49)</f>
        <v>148431.32053494453</v>
      </c>
      <c r="F50" s="71">
        <f t="shared" si="3"/>
        <v>156794.41891869903</v>
      </c>
      <c r="G50" s="72">
        <f>SUM(G48:G49)</f>
        <v>162658</v>
      </c>
      <c r="H50" s="72"/>
      <c r="I50" s="72">
        <f t="shared" ref="I50:J50" si="4">SUM(I48:I49)</f>
        <v>176250.41666666663</v>
      </c>
      <c r="J50" s="72">
        <f t="shared" si="4"/>
        <v>179774.71</v>
      </c>
      <c r="K50" s="73">
        <f>(J50-I50)/I50</f>
        <v>1.9995943272001899E-2</v>
      </c>
      <c r="P50" s="71"/>
      <c r="Q50" s="71"/>
    </row>
    <row r="51" spans="1:17" x14ac:dyDescent="0.2">
      <c r="C51" s="10"/>
      <c r="D51" s="71"/>
      <c r="E51" s="71"/>
      <c r="F51" s="71"/>
      <c r="G51" s="71"/>
      <c r="H51" s="71"/>
      <c r="I51" s="71"/>
      <c r="J51" s="71"/>
      <c r="K51" s="73"/>
    </row>
    <row r="52" spans="1:17" x14ac:dyDescent="0.2">
      <c r="A52" s="10" t="s">
        <v>53</v>
      </c>
      <c r="B52" s="10" t="s">
        <v>639</v>
      </c>
      <c r="D52" s="71">
        <v>93807.359634399414</v>
      </c>
      <c r="E52" s="71">
        <v>93890.559020996094</v>
      </c>
      <c r="F52" s="71">
        <v>99576.879730224609</v>
      </c>
      <c r="G52" s="71">
        <v>97276.07</v>
      </c>
      <c r="H52" s="71"/>
      <c r="I52" s="71">
        <v>93612.579999999987</v>
      </c>
      <c r="J52" s="71">
        <v>95317</v>
      </c>
      <c r="K52" s="73">
        <f>(J52-I52)/I52</f>
        <v>1.8207168310071287E-2</v>
      </c>
    </row>
    <row r="53" spans="1:17" x14ac:dyDescent="0.2">
      <c r="A53" s="10"/>
      <c r="B53" s="10"/>
      <c r="D53" s="83"/>
      <c r="E53" s="83"/>
      <c r="F53" s="83"/>
      <c r="G53" s="83"/>
      <c r="H53" s="83"/>
      <c r="I53" s="83"/>
      <c r="J53" s="83"/>
      <c r="K53" s="84"/>
    </row>
    <row r="54" spans="1:17" x14ac:dyDescent="0.2">
      <c r="A54" s="10" t="s">
        <v>54</v>
      </c>
      <c r="B54" s="10"/>
      <c r="C54" s="472" t="s">
        <v>233</v>
      </c>
      <c r="D54" s="76">
        <v>2269.5899810791016</v>
      </c>
      <c r="E54" s="76">
        <v>1486.0400009155273</v>
      </c>
      <c r="F54" s="76">
        <v>475.89999771118164</v>
      </c>
      <c r="G54" s="76">
        <v>347.33</v>
      </c>
      <c r="H54" s="76"/>
      <c r="I54" s="76">
        <v>677.17</v>
      </c>
      <c r="J54" s="76">
        <v>720.00000000000011</v>
      </c>
      <c r="K54" s="85"/>
      <c r="M54" s="87"/>
      <c r="N54" s="87"/>
      <c r="O54" s="87"/>
    </row>
    <row r="55" spans="1:17" x14ac:dyDescent="0.2">
      <c r="A55" s="2"/>
      <c r="B55" s="2"/>
      <c r="C55" s="472" t="s">
        <v>234</v>
      </c>
      <c r="D55" s="76">
        <v>7944.0499877929688</v>
      </c>
      <c r="E55" s="76">
        <v>7710.4999694824219</v>
      </c>
      <c r="F55" s="76">
        <v>5270.2699584960938</v>
      </c>
      <c r="G55" s="76">
        <v>6110.67</v>
      </c>
      <c r="H55" s="76"/>
      <c r="I55" s="76">
        <v>6406.87</v>
      </c>
      <c r="J55" s="76">
        <v>6535.8000000000011</v>
      </c>
      <c r="K55" s="85"/>
      <c r="M55" s="87"/>
      <c r="N55" s="87"/>
      <c r="O55" s="87"/>
    </row>
    <row r="56" spans="1:17" x14ac:dyDescent="0.2">
      <c r="A56" s="2"/>
      <c r="B56" s="2"/>
      <c r="C56" s="472" t="s">
        <v>235</v>
      </c>
      <c r="D56" s="76">
        <v>992.5099983215332</v>
      </c>
      <c r="E56" s="76">
        <v>1004.6499979496002</v>
      </c>
      <c r="F56" s="76">
        <v>1118.7700061798096</v>
      </c>
      <c r="G56" s="76">
        <v>1017.4000000000001</v>
      </c>
      <c r="H56" s="76"/>
      <c r="I56" s="76">
        <v>1267.8800000000001</v>
      </c>
      <c r="J56" s="76">
        <v>1157</v>
      </c>
      <c r="K56" s="85"/>
      <c r="M56" s="87"/>
      <c r="N56" s="87"/>
      <c r="O56" s="87"/>
    </row>
    <row r="57" spans="1:17" x14ac:dyDescent="0.2">
      <c r="A57" s="2"/>
      <c r="B57" s="2"/>
      <c r="C57" s="474" t="s">
        <v>210</v>
      </c>
      <c r="D57" s="76">
        <v>0</v>
      </c>
      <c r="E57" s="76">
        <v>0</v>
      </c>
      <c r="F57" s="76">
        <v>0</v>
      </c>
      <c r="G57" s="76">
        <v>171.83999999999997</v>
      </c>
      <c r="H57" s="76"/>
      <c r="I57" s="76">
        <v>39.06</v>
      </c>
      <c r="J57" s="76">
        <v>0</v>
      </c>
      <c r="K57" s="85"/>
      <c r="M57" s="87"/>
      <c r="N57" s="87"/>
      <c r="O57" s="87"/>
    </row>
    <row r="58" spans="1:17" x14ac:dyDescent="0.2">
      <c r="A58" s="2"/>
      <c r="B58" s="2"/>
      <c r="C58" s="472" t="s">
        <v>236</v>
      </c>
      <c r="D58" s="76">
        <v>2684.7699737548828</v>
      </c>
      <c r="E58" s="76">
        <v>2472.0500335693359</v>
      </c>
      <c r="F58" s="76">
        <v>2311.9200134277344</v>
      </c>
      <c r="G58" s="76">
        <v>2604.2399999999998</v>
      </c>
      <c r="H58" s="76"/>
      <c r="I58" s="76">
        <v>2544.1099999999997</v>
      </c>
      <c r="J58" s="76">
        <v>2613</v>
      </c>
      <c r="K58" s="85"/>
      <c r="M58" s="87"/>
      <c r="N58" s="87"/>
      <c r="O58" s="87"/>
    </row>
    <row r="59" spans="1:17" x14ac:dyDescent="0.2">
      <c r="A59" s="2"/>
      <c r="B59" s="2"/>
      <c r="C59" s="474" t="s">
        <v>642</v>
      </c>
      <c r="D59" s="76">
        <v>0</v>
      </c>
      <c r="E59" s="76">
        <v>0</v>
      </c>
      <c r="F59" s="76">
        <v>0</v>
      </c>
      <c r="G59" s="76">
        <v>0</v>
      </c>
      <c r="H59" s="76"/>
      <c r="I59" s="76">
        <v>82.039999999999992</v>
      </c>
      <c r="J59" s="76">
        <v>85.000000000000014</v>
      </c>
      <c r="K59" s="85"/>
      <c r="M59" s="87"/>
      <c r="N59" s="87"/>
      <c r="O59" s="87"/>
    </row>
    <row r="60" spans="1:17" x14ac:dyDescent="0.2">
      <c r="A60" s="2"/>
      <c r="B60" s="2"/>
      <c r="C60" s="472" t="s">
        <v>217</v>
      </c>
      <c r="D60" s="76">
        <v>44.839999437332153</v>
      </c>
      <c r="E60" s="76">
        <v>0</v>
      </c>
      <c r="F60" s="76">
        <v>0</v>
      </c>
      <c r="G60" s="76">
        <v>0</v>
      </c>
      <c r="H60" s="76"/>
      <c r="I60" s="76">
        <v>0</v>
      </c>
      <c r="J60" s="76">
        <v>0</v>
      </c>
      <c r="K60" s="85"/>
      <c r="M60" s="87"/>
      <c r="N60" s="87"/>
      <c r="O60" s="87"/>
    </row>
    <row r="61" spans="1:17" x14ac:dyDescent="0.2">
      <c r="A61" s="2"/>
      <c r="B61" s="2"/>
      <c r="C61" s="472" t="s">
        <v>237</v>
      </c>
      <c r="D61" s="76">
        <v>83189.759765625</v>
      </c>
      <c r="E61" s="76">
        <v>79733.900390625</v>
      </c>
      <c r="F61" s="76">
        <v>80422.680053710938</v>
      </c>
      <c r="G61" s="76">
        <v>64941.27</v>
      </c>
      <c r="H61" s="76"/>
      <c r="I61" s="76">
        <v>66714.84</v>
      </c>
      <c r="J61" s="76">
        <v>68641</v>
      </c>
      <c r="K61" s="85"/>
      <c r="M61" s="87"/>
      <c r="N61" s="87"/>
      <c r="O61" s="87"/>
    </row>
    <row r="62" spans="1:17" x14ac:dyDescent="0.2">
      <c r="A62" s="2"/>
      <c r="B62" s="2"/>
      <c r="C62" s="472" t="s">
        <v>238</v>
      </c>
      <c r="D62" s="76">
        <v>466.13999819755554</v>
      </c>
      <c r="E62" s="76">
        <v>0</v>
      </c>
      <c r="F62" s="76">
        <v>2241.3900103569031</v>
      </c>
      <c r="G62" s="76">
        <v>2305.0300000000002</v>
      </c>
      <c r="H62" s="76"/>
      <c r="I62" s="76">
        <v>2147.7600000000002</v>
      </c>
      <c r="J62" s="76">
        <v>2600</v>
      </c>
      <c r="K62" s="85"/>
      <c r="M62" s="87"/>
      <c r="N62" s="87"/>
      <c r="O62" s="87"/>
    </row>
    <row r="63" spans="1:17" x14ac:dyDescent="0.2">
      <c r="A63" s="2"/>
      <c r="B63" s="2"/>
      <c r="C63" s="472" t="s">
        <v>239</v>
      </c>
      <c r="D63" s="76">
        <v>14374.460144042969</v>
      </c>
      <c r="E63" s="76">
        <v>15371.750061035156</v>
      </c>
      <c r="F63" s="76">
        <v>16222.010070800781</v>
      </c>
      <c r="G63" s="76">
        <v>17040.989999999998</v>
      </c>
      <c r="H63" s="76"/>
      <c r="I63" s="76">
        <v>16407.990000000002</v>
      </c>
      <c r="J63" s="76">
        <v>17118.000000000004</v>
      </c>
      <c r="K63" s="85"/>
      <c r="M63" s="87"/>
      <c r="N63" s="87"/>
      <c r="O63" s="87"/>
    </row>
    <row r="64" spans="1:17" x14ac:dyDescent="0.2">
      <c r="A64" s="2"/>
      <c r="B64" s="2"/>
      <c r="C64" s="472" t="s">
        <v>240</v>
      </c>
      <c r="D64" s="76">
        <v>26918.280029296875</v>
      </c>
      <c r="E64" s="76">
        <v>26572.650146484375</v>
      </c>
      <c r="F64" s="76">
        <v>25253.02978515625</v>
      </c>
      <c r="G64" s="76">
        <v>23927.759999999998</v>
      </c>
      <c r="H64" s="76"/>
      <c r="I64" s="76">
        <v>22891.18</v>
      </c>
      <c r="J64" s="76">
        <v>24738</v>
      </c>
      <c r="K64" s="85"/>
      <c r="M64" s="87"/>
      <c r="N64" s="87"/>
      <c r="O64" s="87"/>
    </row>
    <row r="65" spans="1:15" x14ac:dyDescent="0.2">
      <c r="C65" s="472" t="s">
        <v>241</v>
      </c>
      <c r="D65" s="76">
        <v>21702.949768066406</v>
      </c>
      <c r="E65" s="76">
        <v>27035.809814453125</v>
      </c>
      <c r="F65" s="76">
        <v>23631.150268554688</v>
      </c>
      <c r="G65" s="76">
        <v>31496.92</v>
      </c>
      <c r="H65" s="76"/>
      <c r="I65" s="76">
        <v>29823.229999999996</v>
      </c>
      <c r="J65" s="76">
        <v>29715</v>
      </c>
      <c r="K65" s="85"/>
      <c r="M65" s="87"/>
      <c r="N65" s="87"/>
      <c r="O65" s="87"/>
    </row>
    <row r="66" spans="1:15" x14ac:dyDescent="0.2">
      <c r="C66" s="472" t="s">
        <v>643</v>
      </c>
      <c r="D66" s="76">
        <v>0</v>
      </c>
      <c r="E66" s="76">
        <v>140.66000366210938</v>
      </c>
      <c r="F66" s="76">
        <v>0</v>
      </c>
      <c r="G66" s="76">
        <v>0</v>
      </c>
      <c r="H66" s="76"/>
      <c r="I66" s="76">
        <v>0</v>
      </c>
      <c r="J66" s="76">
        <v>0</v>
      </c>
      <c r="K66" s="85"/>
      <c r="M66" s="87"/>
      <c r="N66" s="87"/>
      <c r="O66" s="87"/>
    </row>
    <row r="67" spans="1:15" x14ac:dyDescent="0.2">
      <c r="C67" s="472" t="s">
        <v>242</v>
      </c>
      <c r="D67" s="76">
        <v>2418.6599960327148</v>
      </c>
      <c r="E67" s="76">
        <v>2756.8499526977539</v>
      </c>
      <c r="F67" s="76">
        <v>2853.6400146484375</v>
      </c>
      <c r="G67" s="76">
        <v>2293.79</v>
      </c>
      <c r="H67" s="76"/>
      <c r="I67" s="76">
        <v>2193.4600000000005</v>
      </c>
      <c r="J67" s="76">
        <v>2800</v>
      </c>
      <c r="K67" s="85"/>
      <c r="M67" s="87"/>
      <c r="N67" s="87"/>
    </row>
    <row r="68" spans="1:15" x14ac:dyDescent="0.2">
      <c r="C68" s="472" t="s">
        <v>243</v>
      </c>
      <c r="D68" s="76">
        <v>6876.9799346923828</v>
      </c>
      <c r="E68" s="76">
        <v>9025.2200317382813</v>
      </c>
      <c r="F68" s="76">
        <v>8825.9000244140625</v>
      </c>
      <c r="G68" s="76">
        <v>9431.52</v>
      </c>
      <c r="H68" s="76"/>
      <c r="I68" s="76">
        <v>10658.66</v>
      </c>
      <c r="J68" s="76">
        <v>11989.590000000002</v>
      </c>
      <c r="K68" s="85"/>
      <c r="M68" s="87"/>
      <c r="N68" s="87"/>
      <c r="O68" s="87"/>
    </row>
    <row r="69" spans="1:15" x14ac:dyDescent="0.2">
      <c r="C69" s="472" t="s">
        <v>244</v>
      </c>
      <c r="D69" s="76">
        <v>10809.859985351563</v>
      </c>
      <c r="E69" s="76">
        <v>8654.760009765625</v>
      </c>
      <c r="F69" s="76">
        <v>9825.080078125</v>
      </c>
      <c r="G69" s="76">
        <v>9932.23</v>
      </c>
      <c r="H69" s="76"/>
      <c r="I69" s="76">
        <v>11826.600000000002</v>
      </c>
      <c r="J69" s="76">
        <v>13916</v>
      </c>
      <c r="K69" s="85"/>
      <c r="M69" s="87"/>
      <c r="N69" s="87"/>
      <c r="O69" s="87"/>
    </row>
    <row r="70" spans="1:15" x14ac:dyDescent="0.2">
      <c r="C70" s="472" t="s">
        <v>245</v>
      </c>
      <c r="D70" s="76">
        <v>2716.5600280761719</v>
      </c>
      <c r="E70" s="76">
        <v>2730.2099914550781</v>
      </c>
      <c r="F70" s="76">
        <v>2256.2099914550781</v>
      </c>
      <c r="G70" s="76">
        <v>2010.9199999999998</v>
      </c>
      <c r="H70" s="76"/>
      <c r="I70" s="76">
        <v>2117.83</v>
      </c>
      <c r="J70" s="76">
        <v>2263</v>
      </c>
      <c r="K70" s="85"/>
      <c r="M70" s="87"/>
      <c r="N70" s="87"/>
      <c r="O70" s="87"/>
    </row>
    <row r="71" spans="1:15" x14ac:dyDescent="0.2">
      <c r="C71" s="472" t="s">
        <v>246</v>
      </c>
      <c r="D71" s="76">
        <v>0</v>
      </c>
      <c r="E71" s="76">
        <v>0</v>
      </c>
      <c r="F71" s="76">
        <v>0</v>
      </c>
      <c r="G71" s="76">
        <v>7027.59</v>
      </c>
      <c r="H71" s="76"/>
      <c r="I71" s="76">
        <v>8927.7100000000009</v>
      </c>
      <c r="J71" s="76">
        <v>10503</v>
      </c>
      <c r="K71" s="85"/>
      <c r="M71" s="87"/>
      <c r="N71" s="87"/>
      <c r="O71" s="87"/>
    </row>
    <row r="72" spans="1:15" x14ac:dyDescent="0.2">
      <c r="C72" s="474" t="s">
        <v>644</v>
      </c>
      <c r="D72" s="76">
        <v>9754.2699584960938</v>
      </c>
      <c r="E72" s="76">
        <v>8104.2600708007813</v>
      </c>
      <c r="F72" s="76">
        <v>8158.8800048828125</v>
      </c>
      <c r="G72" s="76">
        <v>0</v>
      </c>
      <c r="H72" s="76"/>
      <c r="I72" s="76">
        <v>3</v>
      </c>
      <c r="J72" s="76">
        <v>0</v>
      </c>
      <c r="K72" s="85"/>
      <c r="M72" s="87"/>
      <c r="N72" s="87"/>
      <c r="O72" s="87"/>
    </row>
    <row r="73" spans="1:15" x14ac:dyDescent="0.2">
      <c r="C73" s="472" t="s">
        <v>247</v>
      </c>
      <c r="D73" s="76">
        <v>0</v>
      </c>
      <c r="E73" s="76">
        <v>0</v>
      </c>
      <c r="F73" s="76">
        <v>10.479999542236328</v>
      </c>
      <c r="G73" s="76">
        <v>30.830000000000002</v>
      </c>
      <c r="H73" s="76"/>
      <c r="I73" s="76">
        <v>13.98</v>
      </c>
      <c r="J73" s="76">
        <v>0</v>
      </c>
      <c r="K73" s="85"/>
      <c r="M73" s="87"/>
      <c r="N73" s="87"/>
      <c r="O73" s="87"/>
    </row>
    <row r="74" spans="1:15" x14ac:dyDescent="0.2">
      <c r="A74" s="2"/>
      <c r="B74" s="2"/>
      <c r="C74" s="472" t="s">
        <v>248</v>
      </c>
      <c r="D74" s="76">
        <v>6026.8399963378906</v>
      </c>
      <c r="E74" s="76">
        <v>5741.3200073242188</v>
      </c>
      <c r="F74" s="76">
        <v>7269.8699645996094</v>
      </c>
      <c r="G74" s="76">
        <v>8009.9299999999994</v>
      </c>
      <c r="H74" s="76"/>
      <c r="I74" s="76">
        <v>7097.170000000001</v>
      </c>
      <c r="J74" s="76">
        <v>7097.1800000000012</v>
      </c>
      <c r="K74" s="85"/>
      <c r="M74" s="87"/>
      <c r="N74" s="87"/>
      <c r="O74" s="87"/>
    </row>
    <row r="75" spans="1:15" x14ac:dyDescent="0.2">
      <c r="A75" s="2"/>
      <c r="B75" s="2"/>
      <c r="C75" s="472" t="s">
        <v>249</v>
      </c>
      <c r="D75" s="76">
        <v>66182.86962890625</v>
      </c>
      <c r="E75" s="76">
        <v>61954.800048828125</v>
      </c>
      <c r="F75" s="76">
        <v>66241.009765625</v>
      </c>
      <c r="G75" s="76">
        <v>67963.67</v>
      </c>
      <c r="H75" s="76"/>
      <c r="I75" s="76">
        <v>67251.12</v>
      </c>
      <c r="J75" s="76">
        <v>71395</v>
      </c>
      <c r="K75" s="85"/>
      <c r="M75" s="87"/>
      <c r="N75" s="87"/>
      <c r="O75" s="87"/>
    </row>
    <row r="76" spans="1:15" x14ac:dyDescent="0.2">
      <c r="A76" s="2"/>
      <c r="B76" s="2"/>
      <c r="C76" s="472" t="s">
        <v>55</v>
      </c>
      <c r="D76" s="76">
        <v>23.87999963760376</v>
      </c>
      <c r="E76" s="76">
        <v>0</v>
      </c>
      <c r="F76" s="76">
        <v>0</v>
      </c>
      <c r="G76" s="76">
        <v>0</v>
      </c>
      <c r="H76" s="76"/>
      <c r="I76" s="76">
        <v>0</v>
      </c>
      <c r="J76" s="76">
        <v>0</v>
      </c>
      <c r="K76" s="85"/>
      <c r="M76" s="87"/>
      <c r="N76" s="87"/>
      <c r="O76" s="87"/>
    </row>
    <row r="77" spans="1:15" x14ac:dyDescent="0.2">
      <c r="A77" s="2"/>
      <c r="B77" s="2"/>
      <c r="C77" s="472" t="s">
        <v>250</v>
      </c>
      <c r="D77" s="76">
        <v>1881.4900131225586</v>
      </c>
      <c r="E77" s="76">
        <v>6.8600009679794312</v>
      </c>
      <c r="F77" s="76">
        <v>550.71999645233154</v>
      </c>
      <c r="G77" s="76">
        <v>1923.65</v>
      </c>
      <c r="H77" s="76"/>
      <c r="I77" s="76">
        <v>1813.6399999999999</v>
      </c>
      <c r="J77" s="76">
        <v>1947</v>
      </c>
      <c r="K77" s="85"/>
      <c r="M77" s="87"/>
      <c r="N77" s="87"/>
      <c r="O77" s="87"/>
    </row>
    <row r="78" spans="1:15" x14ac:dyDescent="0.2">
      <c r="A78" s="2"/>
      <c r="B78" s="2"/>
      <c r="C78" s="472" t="s">
        <v>251</v>
      </c>
      <c r="D78" s="76">
        <v>4622.1299896240234</v>
      </c>
      <c r="E78" s="76">
        <v>5905.5700378417969</v>
      </c>
      <c r="F78" s="76">
        <v>4897.9000396728516</v>
      </c>
      <c r="G78" s="76">
        <v>5371.5899999999992</v>
      </c>
      <c r="H78" s="76"/>
      <c r="I78" s="76">
        <v>4560.07</v>
      </c>
      <c r="J78" s="76">
        <v>4500.0000000000009</v>
      </c>
      <c r="K78" s="85"/>
      <c r="M78" s="87"/>
      <c r="N78" s="87"/>
      <c r="O78" s="87"/>
    </row>
    <row r="79" spans="1:15" x14ac:dyDescent="0.2">
      <c r="A79" s="2"/>
      <c r="B79" s="2"/>
      <c r="C79" s="477" t="s">
        <v>225</v>
      </c>
      <c r="D79" s="80">
        <v>0</v>
      </c>
      <c r="E79" s="80">
        <v>0</v>
      </c>
      <c r="F79" s="80">
        <v>0</v>
      </c>
      <c r="G79" s="80">
        <v>0</v>
      </c>
      <c r="H79" s="80"/>
      <c r="I79" s="80">
        <v>0</v>
      </c>
      <c r="J79" s="80">
        <v>0</v>
      </c>
      <c r="K79" s="86"/>
      <c r="M79" s="87"/>
    </row>
    <row r="80" spans="1:15" x14ac:dyDescent="0.2">
      <c r="A80" s="2"/>
      <c r="B80" s="10" t="s">
        <v>641</v>
      </c>
      <c r="C80" s="478" t="s">
        <v>252</v>
      </c>
      <c r="D80" s="71">
        <f>SUM(D54:D79)</f>
        <v>271900.88917589188</v>
      </c>
      <c r="E80" s="71">
        <f t="shared" ref="E80" si="5">SUM(E54:E79)</f>
        <v>266407.86056959629</v>
      </c>
      <c r="F80" s="71">
        <f>SUM(F54:F79)</f>
        <v>267836.8100438118</v>
      </c>
      <c r="G80" s="71">
        <f>SUM(G54:G79)</f>
        <v>263959.17</v>
      </c>
      <c r="H80" s="71"/>
      <c r="I80" s="71">
        <f t="shared" ref="I80" si="6">SUM(I54:I79)</f>
        <v>265465.37</v>
      </c>
      <c r="J80" s="71">
        <v>280333</v>
      </c>
      <c r="K80" s="73">
        <f>(J80-I80)/I80</f>
        <v>5.6005911430180161E-2</v>
      </c>
      <c r="M80" s="87"/>
    </row>
    <row r="81" spans="1:13" x14ac:dyDescent="0.2">
      <c r="A81" s="2"/>
      <c r="B81" s="2"/>
      <c r="C81" s="10"/>
      <c r="D81" s="71"/>
      <c r="E81" s="71"/>
      <c r="F81" s="71"/>
      <c r="G81" s="71"/>
      <c r="H81" s="71"/>
      <c r="I81" s="71"/>
      <c r="J81" s="71"/>
      <c r="K81" s="73"/>
      <c r="M81" s="87"/>
    </row>
    <row r="82" spans="1:13" x14ac:dyDescent="0.2">
      <c r="A82" s="10" t="s">
        <v>55</v>
      </c>
      <c r="B82" s="10" t="s">
        <v>645</v>
      </c>
      <c r="D82" s="83">
        <v>99198.340049743652</v>
      </c>
      <c r="E82" s="83">
        <v>97496.681063175201</v>
      </c>
      <c r="F82" s="83">
        <v>110087.00894165039</v>
      </c>
      <c r="G82" s="83">
        <v>110273.80999999998</v>
      </c>
      <c r="H82" s="83"/>
      <c r="I82" s="83">
        <v>105344</v>
      </c>
      <c r="J82" s="83">
        <v>103221</v>
      </c>
      <c r="K82" s="73">
        <f>(J82-I82)/I82</f>
        <v>-2.0153022478736331E-2</v>
      </c>
      <c r="M82" s="87"/>
    </row>
    <row r="83" spans="1:13" x14ac:dyDescent="0.2">
      <c r="A83" s="10" t="s">
        <v>56</v>
      </c>
      <c r="B83" s="10" t="s">
        <v>639</v>
      </c>
      <c r="D83" s="83">
        <v>200571.4312286377</v>
      </c>
      <c r="E83" s="83">
        <v>175964.41009521484</v>
      </c>
      <c r="F83" s="83">
        <v>240258.28881835938</v>
      </c>
      <c r="G83" s="83">
        <v>224154.65999999997</v>
      </c>
      <c r="H83" s="83"/>
      <c r="I83" s="83">
        <v>228822.7383333334</v>
      </c>
      <c r="J83" s="83">
        <v>233488.6099999999</v>
      </c>
      <c r="K83" s="73">
        <f>(J83-I83)/I83</f>
        <v>2.0390769294394047E-2</v>
      </c>
      <c r="M83" s="87"/>
    </row>
    <row r="84" spans="1:13" x14ac:dyDescent="0.2">
      <c r="A84" s="10"/>
      <c r="B84" s="10"/>
      <c r="D84" s="83"/>
      <c r="E84" s="83"/>
      <c r="F84" s="83"/>
      <c r="G84" s="83"/>
      <c r="H84" s="83"/>
      <c r="I84" s="83"/>
      <c r="J84" s="83"/>
      <c r="K84" s="88"/>
      <c r="M84" s="87"/>
    </row>
    <row r="85" spans="1:13" x14ac:dyDescent="0.2">
      <c r="A85" s="10" t="s">
        <v>57</v>
      </c>
      <c r="B85" s="2" t="s">
        <v>638</v>
      </c>
      <c r="C85" s="472" t="s">
        <v>254</v>
      </c>
      <c r="D85" s="89">
        <v>52725.2998046875</v>
      </c>
      <c r="E85" s="89">
        <v>50902.39013671875</v>
      </c>
      <c r="F85" s="89">
        <v>52841.730224609375</v>
      </c>
      <c r="G85" s="89">
        <v>46659.310000000012</v>
      </c>
      <c r="H85" s="89"/>
      <c r="I85" s="89">
        <v>42724.639999999999</v>
      </c>
      <c r="J85" s="89">
        <v>36938</v>
      </c>
      <c r="K85" s="85"/>
      <c r="M85" s="87"/>
    </row>
    <row r="86" spans="1:13" x14ac:dyDescent="0.2">
      <c r="A86" s="10"/>
      <c r="B86" s="2" t="s">
        <v>638</v>
      </c>
      <c r="C86" s="472" t="s">
        <v>646</v>
      </c>
      <c r="D86" s="89">
        <v>23.390000104904175</v>
      </c>
      <c r="E86" s="89">
        <v>785.12000608444214</v>
      </c>
      <c r="F86" s="89">
        <v>484.89999771118164</v>
      </c>
      <c r="G86" s="89">
        <v>0</v>
      </c>
      <c r="H86" s="89"/>
      <c r="I86" s="89">
        <v>4200.21</v>
      </c>
      <c r="J86" s="89">
        <v>7500</v>
      </c>
      <c r="K86" s="85"/>
      <c r="M86" s="87"/>
    </row>
    <row r="87" spans="1:13" x14ac:dyDescent="0.2">
      <c r="A87" s="2"/>
      <c r="B87" s="2" t="s">
        <v>638</v>
      </c>
      <c r="C87" s="472" t="s">
        <v>255</v>
      </c>
      <c r="D87" s="89">
        <v>5.6599998474121094</v>
      </c>
      <c r="E87" s="89">
        <v>0</v>
      </c>
      <c r="F87" s="89">
        <v>0</v>
      </c>
      <c r="G87" s="89">
        <v>0</v>
      </c>
      <c r="H87" s="89"/>
      <c r="I87" s="89">
        <v>0</v>
      </c>
      <c r="J87" s="89">
        <v>0</v>
      </c>
      <c r="K87" s="85"/>
      <c r="M87" s="87"/>
    </row>
    <row r="88" spans="1:13" x14ac:dyDescent="0.2">
      <c r="A88" s="2"/>
      <c r="B88" s="2" t="s">
        <v>638</v>
      </c>
      <c r="C88" s="472" t="s">
        <v>256</v>
      </c>
      <c r="D88" s="89">
        <v>0</v>
      </c>
      <c r="E88" s="89">
        <v>619.1999990940094</v>
      </c>
      <c r="F88" s="89">
        <v>1750.3699884414673</v>
      </c>
      <c r="G88" s="89">
        <v>1600.65</v>
      </c>
      <c r="H88" s="89"/>
      <c r="I88" s="89">
        <v>1445.15</v>
      </c>
      <c r="J88" s="89">
        <v>2945.08</v>
      </c>
      <c r="K88" s="85"/>
      <c r="M88" s="87"/>
    </row>
    <row r="89" spans="1:13" x14ac:dyDescent="0.2">
      <c r="A89" s="2"/>
      <c r="B89" s="2" t="s">
        <v>638</v>
      </c>
      <c r="C89" s="472" t="s">
        <v>208</v>
      </c>
      <c r="D89" s="89">
        <v>21430.969970703125</v>
      </c>
      <c r="E89" s="89">
        <v>15565.339904785156</v>
      </c>
      <c r="F89" s="89">
        <v>10398.27001953125</v>
      </c>
      <c r="G89" s="89">
        <v>14873.12</v>
      </c>
      <c r="H89" s="89"/>
      <c r="I89" s="89">
        <v>13791.660000000002</v>
      </c>
      <c r="J89" s="89">
        <v>19964</v>
      </c>
      <c r="K89" s="85"/>
      <c r="M89" s="87"/>
    </row>
    <row r="90" spans="1:13" x14ac:dyDescent="0.2">
      <c r="A90" s="2"/>
      <c r="B90" s="2" t="s">
        <v>638</v>
      </c>
      <c r="C90" s="472" t="s">
        <v>198</v>
      </c>
      <c r="D90" s="89"/>
      <c r="E90" s="89"/>
      <c r="F90" s="89">
        <v>318.55000007152557</v>
      </c>
      <c r="G90" s="89">
        <v>0</v>
      </c>
      <c r="H90" s="89"/>
      <c r="I90" s="89">
        <v>0</v>
      </c>
      <c r="J90" s="89">
        <v>0</v>
      </c>
      <c r="K90" s="85"/>
      <c r="M90" s="87"/>
    </row>
    <row r="91" spans="1:13" x14ac:dyDescent="0.2">
      <c r="A91" s="2"/>
      <c r="B91" s="2" t="s">
        <v>638</v>
      </c>
      <c r="C91" s="472" t="s">
        <v>212</v>
      </c>
      <c r="D91" s="89">
        <v>3171.2800140380859</v>
      </c>
      <c r="E91" s="89">
        <v>1617.1399765014648</v>
      </c>
      <c r="F91" s="89">
        <v>2492.7699890136719</v>
      </c>
      <c r="G91" s="89">
        <v>1993.73</v>
      </c>
      <c r="H91" s="89"/>
      <c r="I91" s="89">
        <v>2033.0300000000004</v>
      </c>
      <c r="J91" s="89">
        <v>2033.2599999999995</v>
      </c>
      <c r="K91" s="85"/>
      <c r="M91" s="87"/>
    </row>
    <row r="92" spans="1:13" x14ac:dyDescent="0.2">
      <c r="A92" s="2"/>
      <c r="B92" s="2" t="s">
        <v>638</v>
      </c>
      <c r="C92" s="472" t="s">
        <v>218</v>
      </c>
      <c r="D92" s="89">
        <v>0</v>
      </c>
      <c r="E92" s="89">
        <v>0</v>
      </c>
      <c r="F92" s="89">
        <v>30.700000762939453</v>
      </c>
      <c r="G92" s="89">
        <v>29.669999999999998</v>
      </c>
      <c r="H92" s="89"/>
      <c r="I92" s="89">
        <v>0</v>
      </c>
      <c r="J92" s="89">
        <v>0</v>
      </c>
      <c r="K92" s="85"/>
      <c r="M92" s="87"/>
    </row>
    <row r="93" spans="1:13" x14ac:dyDescent="0.2">
      <c r="A93" s="2"/>
      <c r="B93" s="2" t="s">
        <v>638</v>
      </c>
      <c r="C93" s="472" t="s">
        <v>257</v>
      </c>
      <c r="D93" s="89">
        <v>0</v>
      </c>
      <c r="E93" s="89">
        <v>1558.9000186920166</v>
      </c>
      <c r="F93" s="89">
        <v>2338.0499572753906</v>
      </c>
      <c r="G93" s="89">
        <v>2740.55</v>
      </c>
      <c r="H93" s="89"/>
      <c r="I93" s="89">
        <v>136.79</v>
      </c>
      <c r="J93" s="89">
        <v>0</v>
      </c>
      <c r="K93" s="85"/>
      <c r="M93" s="87"/>
    </row>
    <row r="94" spans="1:13" x14ac:dyDescent="0.2">
      <c r="A94" s="2"/>
      <c r="B94" s="2" t="s">
        <v>638</v>
      </c>
      <c r="C94" s="472" t="s">
        <v>258</v>
      </c>
      <c r="D94" s="89">
        <v>2447.8099975585938</v>
      </c>
      <c r="E94" s="89">
        <v>2450.2599792480469</v>
      </c>
      <c r="F94" s="89">
        <v>2536.5900039672852</v>
      </c>
      <c r="G94" s="89">
        <v>2581.14</v>
      </c>
      <c r="H94" s="89"/>
      <c r="I94" s="89">
        <v>2445.54</v>
      </c>
      <c r="J94" s="89">
        <v>2445.48</v>
      </c>
      <c r="K94" s="85"/>
      <c r="M94" s="87"/>
    </row>
    <row r="95" spans="1:13" x14ac:dyDescent="0.2">
      <c r="A95" s="2"/>
      <c r="B95" s="2" t="s">
        <v>638</v>
      </c>
      <c r="C95" s="472" t="s">
        <v>259</v>
      </c>
      <c r="D95" s="89">
        <v>24496.7099609375</v>
      </c>
      <c r="E95" s="89">
        <v>24615.940185546875</v>
      </c>
      <c r="F95" s="89">
        <v>20896.799987792969</v>
      </c>
      <c r="G95" s="89">
        <v>19817.18</v>
      </c>
      <c r="H95" s="89"/>
      <c r="I95" s="89">
        <v>20433</v>
      </c>
      <c r="J95" s="89">
        <v>24855</v>
      </c>
      <c r="K95" s="85"/>
      <c r="M95" s="87"/>
    </row>
    <row r="96" spans="1:13" x14ac:dyDescent="0.2">
      <c r="B96" s="2" t="s">
        <v>638</v>
      </c>
      <c r="C96" s="472" t="s">
        <v>260</v>
      </c>
      <c r="D96" s="89">
        <v>8483.3099365234375</v>
      </c>
      <c r="E96" s="89">
        <v>3799.6300354003906</v>
      </c>
      <c r="F96" s="89">
        <v>8197.2098693847656</v>
      </c>
      <c r="G96" s="89">
        <v>13304.020000000002</v>
      </c>
      <c r="H96" s="89"/>
      <c r="I96" s="89">
        <v>11426.499999999998</v>
      </c>
      <c r="J96" s="89">
        <v>10025.979999999998</v>
      </c>
      <c r="K96" s="85"/>
      <c r="M96" s="87"/>
    </row>
    <row r="97" spans="1:14" x14ac:dyDescent="0.2">
      <c r="B97" s="2" t="s">
        <v>638</v>
      </c>
      <c r="C97" s="472" t="s">
        <v>261</v>
      </c>
      <c r="D97" s="89">
        <v>37237.280029296875</v>
      </c>
      <c r="E97" s="89">
        <v>40371.39990234375</v>
      </c>
      <c r="F97" s="89">
        <v>43941.759521484375</v>
      </c>
      <c r="G97" s="89">
        <v>44874.280000000006</v>
      </c>
      <c r="H97" s="89"/>
      <c r="I97" s="89">
        <v>35385.539999999994</v>
      </c>
      <c r="J97" s="89">
        <v>38740.87999999999</v>
      </c>
      <c r="K97" s="85"/>
      <c r="M97" s="87"/>
    </row>
    <row r="98" spans="1:14" x14ac:dyDescent="0.2">
      <c r="B98" s="2" t="s">
        <v>641</v>
      </c>
      <c r="C98" s="472" t="s">
        <v>262</v>
      </c>
      <c r="D98" s="89">
        <v>4179.1199798583984</v>
      </c>
      <c r="E98" s="89">
        <v>3483.0900039672852</v>
      </c>
      <c r="F98" s="89">
        <v>1898.8099944591522</v>
      </c>
      <c r="G98" s="89">
        <v>701.31</v>
      </c>
      <c r="H98" s="89"/>
      <c r="I98" s="89">
        <v>619.41000000000008</v>
      </c>
      <c r="J98" s="89">
        <v>619.62</v>
      </c>
      <c r="K98" s="85"/>
      <c r="M98" s="87"/>
    </row>
    <row r="99" spans="1:14" x14ac:dyDescent="0.2">
      <c r="B99" s="2" t="s">
        <v>641</v>
      </c>
      <c r="C99" s="472" t="s">
        <v>263</v>
      </c>
      <c r="D99" s="89">
        <v>4387.3400115966797</v>
      </c>
      <c r="E99" s="89">
        <v>7576.7599945068359</v>
      </c>
      <c r="F99" s="89">
        <v>7253.2999877929688</v>
      </c>
      <c r="G99" s="89">
        <v>13435.72</v>
      </c>
      <c r="H99" s="89"/>
      <c r="I99" s="89">
        <v>11204.459999999997</v>
      </c>
      <c r="J99" s="89">
        <v>11203.919999999998</v>
      </c>
      <c r="K99" s="85"/>
      <c r="M99" s="87"/>
    </row>
    <row r="100" spans="1:14" x14ac:dyDescent="0.2">
      <c r="B100" s="2" t="s">
        <v>641</v>
      </c>
      <c r="C100" s="472" t="s">
        <v>264</v>
      </c>
      <c r="D100" s="89">
        <v>16252.220031738281</v>
      </c>
      <c r="E100" s="89">
        <v>14798.609985351563</v>
      </c>
      <c r="F100" s="89">
        <v>13006.549926757813</v>
      </c>
      <c r="G100" s="89">
        <v>13508.98</v>
      </c>
      <c r="H100" s="89"/>
      <c r="I100" s="89">
        <v>13706.399999999998</v>
      </c>
      <c r="J100" s="89">
        <v>15111.980000000001</v>
      </c>
      <c r="K100" s="85"/>
      <c r="M100" s="87"/>
    </row>
    <row r="101" spans="1:14" x14ac:dyDescent="0.2">
      <c r="B101" s="2" t="s">
        <v>638</v>
      </c>
      <c r="C101" s="472" t="s">
        <v>265</v>
      </c>
      <c r="D101" s="89">
        <v>25300.780151367188</v>
      </c>
      <c r="E101" s="89">
        <v>26817.170288085938</v>
      </c>
      <c r="F101" s="89">
        <v>21582.9599609375</v>
      </c>
      <c r="G101" s="89">
        <v>20828.289999999997</v>
      </c>
      <c r="H101" s="89"/>
      <c r="I101" s="89">
        <v>21379.029999999995</v>
      </c>
      <c r="J101" s="89">
        <v>22594.340000000007</v>
      </c>
      <c r="K101" s="85"/>
      <c r="M101" s="87"/>
    </row>
    <row r="102" spans="1:14" x14ac:dyDescent="0.2">
      <c r="B102" s="2" t="s">
        <v>638</v>
      </c>
      <c r="C102" s="472" t="s">
        <v>266</v>
      </c>
      <c r="D102" s="89">
        <v>0</v>
      </c>
      <c r="E102" s="89">
        <v>0</v>
      </c>
      <c r="F102" s="89">
        <v>0</v>
      </c>
      <c r="G102" s="89">
        <v>2918.08</v>
      </c>
      <c r="H102" s="89"/>
      <c r="I102" s="89">
        <v>5304</v>
      </c>
      <c r="J102" s="89">
        <v>4800</v>
      </c>
      <c r="K102" s="85"/>
      <c r="M102" s="87"/>
    </row>
    <row r="103" spans="1:14" x14ac:dyDescent="0.2">
      <c r="B103" s="2" t="s">
        <v>638</v>
      </c>
      <c r="C103" s="472" t="s">
        <v>223</v>
      </c>
      <c r="D103" s="89">
        <v>0</v>
      </c>
      <c r="E103" s="89">
        <v>1777.4599952697754</v>
      </c>
      <c r="F103" s="89">
        <v>3865.5199890136719</v>
      </c>
      <c r="G103" s="89">
        <v>0</v>
      </c>
      <c r="H103" s="89"/>
      <c r="I103" s="89">
        <v>0</v>
      </c>
      <c r="J103" s="89">
        <v>0</v>
      </c>
      <c r="K103" s="85"/>
      <c r="M103" s="87"/>
    </row>
    <row r="104" spans="1:14" x14ac:dyDescent="0.2">
      <c r="B104" s="2" t="s">
        <v>638</v>
      </c>
      <c r="C104" s="472" t="s">
        <v>224</v>
      </c>
      <c r="D104" s="89">
        <v>20917.610229492188</v>
      </c>
      <c r="E104" s="89">
        <v>19832.660034179688</v>
      </c>
      <c r="F104" s="89">
        <v>20390.580078125</v>
      </c>
      <c r="G104" s="89">
        <v>17498.38</v>
      </c>
      <c r="H104" s="89"/>
      <c r="I104" s="89">
        <v>19057.970000000005</v>
      </c>
      <c r="J104" s="89">
        <v>20138</v>
      </c>
      <c r="K104" s="85"/>
      <c r="M104" s="87"/>
    </row>
    <row r="105" spans="1:14" x14ac:dyDescent="0.2">
      <c r="A105" s="2"/>
      <c r="B105" s="2" t="s">
        <v>638</v>
      </c>
      <c r="C105" s="472" t="s">
        <v>267</v>
      </c>
      <c r="D105" s="89">
        <v>20707.110046386719</v>
      </c>
      <c r="E105" s="89">
        <v>18300.310119628906</v>
      </c>
      <c r="F105" s="89">
        <v>18638.81005859375</v>
      </c>
      <c r="G105" s="89">
        <v>5992.4899999999989</v>
      </c>
      <c r="H105" s="89"/>
      <c r="I105" s="89">
        <v>4269.0199999999995</v>
      </c>
      <c r="J105" s="89">
        <v>4968.2400000000016</v>
      </c>
      <c r="K105" s="85"/>
      <c r="M105" s="87"/>
    </row>
    <row r="106" spans="1:14" x14ac:dyDescent="0.2">
      <c r="A106" s="2"/>
      <c r="B106" s="2" t="s">
        <v>638</v>
      </c>
      <c r="C106" s="472" t="s">
        <v>268</v>
      </c>
      <c r="D106" s="89">
        <v>29777.219848632813</v>
      </c>
      <c r="E106" s="89">
        <v>30122.030029296875</v>
      </c>
      <c r="F106" s="89">
        <v>25535.880004882813</v>
      </c>
      <c r="G106" s="89">
        <v>28160.309999999998</v>
      </c>
      <c r="H106" s="89"/>
      <c r="I106" s="89">
        <v>30214.870000000003</v>
      </c>
      <c r="J106" s="89">
        <v>30614.400000000005</v>
      </c>
      <c r="K106" s="85"/>
    </row>
    <row r="107" spans="1:14" x14ac:dyDescent="0.2">
      <c r="A107" s="2"/>
      <c r="B107" s="2" t="s">
        <v>638</v>
      </c>
      <c r="C107" s="475" t="s">
        <v>269</v>
      </c>
      <c r="D107" s="81">
        <v>23885.330078125</v>
      </c>
      <c r="E107" s="81">
        <v>28515.800048828125</v>
      </c>
      <c r="F107" s="81">
        <v>28239.809936523438</v>
      </c>
      <c r="G107" s="81">
        <v>29857.17</v>
      </c>
      <c r="H107" s="81"/>
      <c r="I107" s="81">
        <v>29132.850000000002</v>
      </c>
      <c r="J107" s="81">
        <v>30832.840000000011</v>
      </c>
      <c r="K107" s="86"/>
    </row>
    <row r="108" spans="1:14" x14ac:dyDescent="0.2">
      <c r="A108" s="2"/>
      <c r="B108" s="2"/>
      <c r="C108" s="10" t="s">
        <v>270</v>
      </c>
      <c r="D108" s="14">
        <f t="shared" ref="D108:J108" si="7">SUM(D85:D107)</f>
        <v>295428.4400908947</v>
      </c>
      <c r="E108" s="14">
        <f t="shared" si="7"/>
        <v>293509.21064352989</v>
      </c>
      <c r="F108" s="14">
        <f t="shared" si="7"/>
        <v>286639.9194971323</v>
      </c>
      <c r="G108" s="14">
        <f t="shared" si="7"/>
        <v>281374.38</v>
      </c>
      <c r="H108" s="14"/>
      <c r="I108" s="14">
        <f t="shared" si="7"/>
        <v>268910.06999999995</v>
      </c>
      <c r="J108" s="14">
        <f t="shared" si="7"/>
        <v>286331.01999999996</v>
      </c>
      <c r="K108" s="73">
        <f>(J108-I108)/I108</f>
        <v>6.4783553847574449E-2</v>
      </c>
    </row>
    <row r="109" spans="1:14" x14ac:dyDescent="0.2">
      <c r="A109" s="40"/>
      <c r="B109" s="40"/>
      <c r="D109" s="2"/>
      <c r="K109" s="479"/>
    </row>
    <row r="110" spans="1:14" ht="13.5" thickBot="1" x14ac:dyDescent="0.25">
      <c r="A110" s="40" t="s">
        <v>271</v>
      </c>
      <c r="B110" s="40"/>
      <c r="D110" s="480">
        <f t="shared" ref="D110:J110" si="8">D108+D83+D82+D80+D52+D50+D46+D45+D44+D42+D9+D8+D7+D6</f>
        <v>2582461.7445828319</v>
      </c>
      <c r="E110" s="480">
        <f t="shared" si="8"/>
        <v>2591778.6899374276</v>
      </c>
      <c r="F110" s="480">
        <f t="shared" si="8"/>
        <v>2713260.0142790973</v>
      </c>
      <c r="G110" s="480">
        <f t="shared" si="8"/>
        <v>2780389.0799999996</v>
      </c>
      <c r="H110" s="480"/>
      <c r="I110" s="480">
        <f t="shared" si="8"/>
        <v>2756173.6899999995</v>
      </c>
      <c r="J110" s="480">
        <f t="shared" si="8"/>
        <v>2870642.41</v>
      </c>
      <c r="K110" s="91">
        <f>(J110-I110)/I110</f>
        <v>4.1531751215577672E-2</v>
      </c>
      <c r="M110" s="90"/>
      <c r="N110" s="90"/>
    </row>
    <row r="111" spans="1:14" x14ac:dyDescent="0.2">
      <c r="A111" s="10"/>
      <c r="B111" s="10"/>
      <c r="D111" s="71"/>
      <c r="E111" s="71"/>
      <c r="F111" s="71"/>
      <c r="G111" s="71"/>
      <c r="H111" s="71"/>
      <c r="I111" s="71"/>
      <c r="J111" s="71"/>
      <c r="K111" s="73"/>
      <c r="M111" s="90"/>
      <c r="N111" s="90"/>
    </row>
    <row r="112" spans="1:14" ht="13.5" thickBot="1" x14ac:dyDescent="0.25">
      <c r="A112" s="40" t="s">
        <v>272</v>
      </c>
      <c r="B112" s="40" t="s">
        <v>647</v>
      </c>
      <c r="D112" s="92">
        <v>107522.84005331993</v>
      </c>
      <c r="E112" s="92">
        <v>107680.99012947083</v>
      </c>
      <c r="F112" s="92">
        <v>120845.35040605068</v>
      </c>
      <c r="G112" s="92">
        <v>127498.27999999998</v>
      </c>
      <c r="H112" s="92"/>
      <c r="I112" s="92">
        <v>150575.31</v>
      </c>
      <c r="J112" s="92">
        <v>163952</v>
      </c>
      <c r="K112" s="91">
        <f>(J112-I112)/I112</f>
        <v>8.8837207109186772E-2</v>
      </c>
    </row>
    <row r="113" spans="1:15" x14ac:dyDescent="0.2">
      <c r="C113" s="476"/>
      <c r="D113" s="76"/>
      <c r="E113" s="76"/>
      <c r="F113" s="76"/>
      <c r="G113" s="76"/>
      <c r="H113" s="76"/>
      <c r="I113" s="76"/>
      <c r="J113" s="76"/>
      <c r="K113" s="85"/>
    </row>
    <row r="114" spans="1:15" x14ac:dyDescent="0.2">
      <c r="A114" s="40" t="s">
        <v>274</v>
      </c>
      <c r="B114" s="40"/>
      <c r="D114" s="2"/>
      <c r="K114" s="479"/>
    </row>
    <row r="115" spans="1:15" x14ac:dyDescent="0.2">
      <c r="A115" s="481" t="s">
        <v>648</v>
      </c>
      <c r="B115" s="481" t="s">
        <v>639</v>
      </c>
      <c r="D115" s="72">
        <v>8896</v>
      </c>
      <c r="E115" s="72">
        <v>22435</v>
      </c>
      <c r="F115" s="72">
        <v>29481.290119111538</v>
      </c>
      <c r="G115" s="72">
        <v>16379.88</v>
      </c>
      <c r="H115" s="72"/>
      <c r="I115" s="72">
        <v>19875.139999999996</v>
      </c>
      <c r="J115" s="72">
        <v>20189.14</v>
      </c>
      <c r="K115" s="73">
        <f>(J115-I115)/I115</f>
        <v>1.5798630852411791E-2</v>
      </c>
      <c r="M115" s="72"/>
    </row>
    <row r="116" spans="1:15" x14ac:dyDescent="0.2">
      <c r="A116" s="10" t="s">
        <v>43</v>
      </c>
      <c r="B116" s="10" t="s">
        <v>638</v>
      </c>
      <c r="D116" s="71">
        <v>99774.73046875</v>
      </c>
      <c r="E116" s="71">
        <v>130758.7509765625</v>
      </c>
      <c r="F116" s="71">
        <v>133379.669921875</v>
      </c>
      <c r="G116" s="71">
        <v>130629.06</v>
      </c>
      <c r="H116" s="71"/>
      <c r="I116" s="71">
        <v>107223.92333333335</v>
      </c>
      <c r="J116" s="71">
        <v>112584</v>
      </c>
      <c r="K116" s="73">
        <f>(J116-I116)/I116</f>
        <v>4.998955923300305E-2</v>
      </c>
    </row>
    <row r="117" spans="1:15" x14ac:dyDescent="0.2">
      <c r="A117" s="10" t="s">
        <v>198</v>
      </c>
      <c r="B117" s="10" t="s">
        <v>640</v>
      </c>
      <c r="D117" s="71">
        <v>34273.140012860298</v>
      </c>
      <c r="E117" s="71">
        <v>40499.330050945282</v>
      </c>
      <c r="F117" s="71">
        <v>42300.86005616188</v>
      </c>
      <c r="G117" s="71">
        <v>55687.72</v>
      </c>
      <c r="H117" s="71"/>
      <c r="I117" s="71">
        <v>53707.143333333326</v>
      </c>
      <c r="J117" s="71">
        <v>54787</v>
      </c>
      <c r="K117" s="73">
        <f>(J117-I117)/I117</f>
        <v>2.01063880825786E-2</v>
      </c>
    </row>
    <row r="118" spans="1:15" x14ac:dyDescent="0.2">
      <c r="A118" s="10" t="s">
        <v>199</v>
      </c>
      <c r="B118" s="10" t="s">
        <v>640</v>
      </c>
      <c r="D118" s="71">
        <v>13898.81005859375</v>
      </c>
      <c r="E118" s="71">
        <v>14534.869999885559</v>
      </c>
      <c r="F118" s="71">
        <v>15050.760192871094</v>
      </c>
      <c r="G118" s="71">
        <v>10955.97</v>
      </c>
      <c r="H118" s="71"/>
      <c r="I118" s="71">
        <v>10356</v>
      </c>
      <c r="J118" s="71">
        <v>11527</v>
      </c>
      <c r="K118" s="73">
        <f>(J118-I118)/I118</f>
        <v>0.11307454615681731</v>
      </c>
    </row>
    <row r="119" spans="1:15" x14ac:dyDescent="0.2">
      <c r="A119" s="10"/>
      <c r="B119" s="10"/>
      <c r="D119" s="71"/>
      <c r="E119" s="71"/>
      <c r="F119" s="71"/>
      <c r="G119" s="71"/>
      <c r="H119" s="71"/>
      <c r="I119" s="71"/>
      <c r="J119" s="71"/>
      <c r="K119" s="73"/>
    </row>
    <row r="120" spans="1:15" x14ac:dyDescent="0.2">
      <c r="A120" s="10" t="s">
        <v>48</v>
      </c>
      <c r="B120" s="10"/>
      <c r="C120" s="472" t="s">
        <v>275</v>
      </c>
      <c r="D120" s="76">
        <v>4485.3600006103516</v>
      </c>
      <c r="E120" s="76">
        <v>4464.0799689292908</v>
      </c>
      <c r="F120" s="77">
        <v>2195.6300048828125</v>
      </c>
      <c r="G120" s="77">
        <v>4543.18</v>
      </c>
      <c r="H120" s="77"/>
      <c r="I120" s="77">
        <v>7789</v>
      </c>
      <c r="J120" s="77">
        <v>3572</v>
      </c>
      <c r="K120" s="85"/>
      <c r="N120" s="71"/>
      <c r="O120" s="71"/>
    </row>
    <row r="121" spans="1:15" x14ac:dyDescent="0.2">
      <c r="A121" s="2"/>
      <c r="B121" s="2"/>
      <c r="C121" s="472" t="s">
        <v>276</v>
      </c>
      <c r="D121" s="76">
        <v>531.59999847412109</v>
      </c>
      <c r="E121" s="76">
        <v>835.01999855041504</v>
      </c>
      <c r="F121" s="77">
        <v>840.2400016784668</v>
      </c>
      <c r="G121" s="77">
        <v>891.06000000000006</v>
      </c>
      <c r="H121" s="77"/>
      <c r="I121" s="77">
        <v>972</v>
      </c>
      <c r="J121" s="77">
        <v>984</v>
      </c>
      <c r="K121" s="85"/>
      <c r="N121" s="71"/>
      <c r="O121" s="71"/>
    </row>
    <row r="122" spans="1:15" x14ac:dyDescent="0.2">
      <c r="A122" s="2"/>
      <c r="B122" s="2"/>
      <c r="C122" s="472" t="s">
        <v>211</v>
      </c>
      <c r="D122" s="76">
        <v>1865.2600035667419</v>
      </c>
      <c r="E122" s="76">
        <v>1610.2299954891205</v>
      </c>
      <c r="F122" s="77">
        <v>3007.8999404907227</v>
      </c>
      <c r="G122" s="77">
        <v>3371.4300000000003</v>
      </c>
      <c r="H122" s="77"/>
      <c r="I122" s="77">
        <v>3134</v>
      </c>
      <c r="J122" s="77">
        <v>3775</v>
      </c>
      <c r="K122" s="85"/>
      <c r="N122" s="71"/>
      <c r="O122" s="71"/>
    </row>
    <row r="123" spans="1:15" x14ac:dyDescent="0.2">
      <c r="C123" s="472" t="s">
        <v>277</v>
      </c>
      <c r="D123" s="76">
        <v>19707.760006740689</v>
      </c>
      <c r="E123" s="76">
        <v>15509.449987411499</v>
      </c>
      <c r="F123" s="77">
        <v>16944</v>
      </c>
      <c r="G123" s="77">
        <v>24141.66</v>
      </c>
      <c r="H123" s="77"/>
      <c r="I123" s="77">
        <v>22393</v>
      </c>
      <c r="J123" s="77">
        <v>23026</v>
      </c>
      <c r="K123" s="85"/>
      <c r="N123" s="71"/>
      <c r="O123" s="71"/>
    </row>
    <row r="124" spans="1:15" x14ac:dyDescent="0.2">
      <c r="C124" s="472" t="s">
        <v>216</v>
      </c>
      <c r="D124" s="76">
        <v>996.13999557495117</v>
      </c>
      <c r="E124" s="76">
        <v>973.14001083374023</v>
      </c>
      <c r="F124" s="77">
        <v>1259</v>
      </c>
      <c r="G124" s="77">
        <v>1471.1000000000004</v>
      </c>
      <c r="H124" s="77"/>
      <c r="I124" s="77">
        <v>63</v>
      </c>
      <c r="J124" s="77">
        <v>0</v>
      </c>
      <c r="K124" s="85"/>
      <c r="N124" s="71"/>
      <c r="O124" s="71"/>
    </row>
    <row r="125" spans="1:15" x14ac:dyDescent="0.2">
      <c r="C125" s="472" t="s">
        <v>218</v>
      </c>
      <c r="D125" s="76">
        <v>2849.1099967956543</v>
      </c>
      <c r="E125" s="76">
        <v>2437.3599944114685</v>
      </c>
      <c r="F125" s="77">
        <v>2823.5899810791016</v>
      </c>
      <c r="G125" s="77">
        <v>3270.96</v>
      </c>
      <c r="H125" s="77"/>
      <c r="I125" s="77">
        <v>3473</v>
      </c>
      <c r="J125" s="77">
        <v>3025</v>
      </c>
      <c r="K125" s="85"/>
      <c r="N125" s="71"/>
      <c r="O125" s="71"/>
    </row>
    <row r="126" spans="1:15" x14ac:dyDescent="0.2">
      <c r="A126" s="2"/>
      <c r="B126" s="2"/>
      <c r="C126" s="472" t="s">
        <v>649</v>
      </c>
      <c r="D126" s="76">
        <v>4429.300025343895</v>
      </c>
      <c r="E126" s="76">
        <v>3416.2700245380402</v>
      </c>
      <c r="F126" s="77">
        <v>3757</v>
      </c>
      <c r="G126" s="77">
        <v>5290.11</v>
      </c>
      <c r="H126" s="77"/>
      <c r="I126" s="77">
        <v>4821</v>
      </c>
      <c r="J126" s="77">
        <v>5160</v>
      </c>
      <c r="K126" s="85"/>
      <c r="N126" s="71"/>
      <c r="O126" s="71"/>
    </row>
    <row r="127" spans="1:15" x14ac:dyDescent="0.2">
      <c r="A127" s="2"/>
      <c r="B127" s="2"/>
      <c r="C127" s="475" t="s">
        <v>222</v>
      </c>
      <c r="D127" s="80">
        <v>3733.1300163269043</v>
      </c>
      <c r="E127" s="80">
        <v>3133.7599850296974</v>
      </c>
      <c r="F127" s="81">
        <v>2506.7999877929688</v>
      </c>
      <c r="G127" s="81">
        <v>2144.38</v>
      </c>
      <c r="H127" s="81"/>
      <c r="I127" s="81">
        <v>1378</v>
      </c>
      <c r="J127" s="81">
        <v>2075.0000000000005</v>
      </c>
      <c r="K127" s="86"/>
      <c r="N127" s="71"/>
      <c r="O127" s="71"/>
    </row>
    <row r="128" spans="1:15" x14ac:dyDescent="0.2">
      <c r="A128" s="2"/>
      <c r="B128" s="2" t="s">
        <v>640</v>
      </c>
      <c r="C128" s="10" t="s">
        <v>226</v>
      </c>
      <c r="D128" s="14">
        <f t="shared" ref="D128:J128" si="9">SUM(D120:D127)</f>
        <v>38597.660043433309</v>
      </c>
      <c r="E128" s="14">
        <f t="shared" si="9"/>
        <v>32379.309965193272</v>
      </c>
      <c r="F128" s="14">
        <f t="shared" si="9"/>
        <v>33334.159915924072</v>
      </c>
      <c r="G128" s="14">
        <f t="shared" si="9"/>
        <v>45123.88</v>
      </c>
      <c r="H128" s="14"/>
      <c r="I128" s="14">
        <f t="shared" si="9"/>
        <v>44023</v>
      </c>
      <c r="J128" s="14">
        <f t="shared" si="9"/>
        <v>41617</v>
      </c>
      <c r="K128" s="73">
        <f>(J128-I128)/I128</f>
        <v>-5.4653249437793879E-2</v>
      </c>
      <c r="N128" s="71"/>
      <c r="O128" s="71"/>
    </row>
    <row r="129" spans="1:15" x14ac:dyDescent="0.2">
      <c r="A129" s="2"/>
      <c r="B129" s="2"/>
      <c r="C129" s="10"/>
      <c r="D129" s="14"/>
      <c r="E129" s="14"/>
      <c r="F129" s="14"/>
      <c r="G129" s="14"/>
      <c r="H129" s="14"/>
      <c r="I129" s="14"/>
      <c r="J129" s="14"/>
      <c r="K129" s="479"/>
      <c r="N129" s="71"/>
      <c r="O129" s="71"/>
    </row>
    <row r="130" spans="1:15" x14ac:dyDescent="0.2">
      <c r="A130" s="10" t="s">
        <v>49</v>
      </c>
      <c r="B130" s="10" t="s">
        <v>640</v>
      </c>
      <c r="D130" s="83">
        <v>799.87999963760376</v>
      </c>
      <c r="E130" s="83">
        <v>21.479999542236328</v>
      </c>
      <c r="F130" s="83">
        <v>328.48000454902649</v>
      </c>
      <c r="G130" s="83">
        <v>1.5</v>
      </c>
      <c r="H130" s="83"/>
      <c r="I130" s="83">
        <v>1.5</v>
      </c>
      <c r="J130" s="83">
        <v>0</v>
      </c>
      <c r="K130" s="73">
        <v>0</v>
      </c>
    </row>
    <row r="131" spans="1:15" x14ac:dyDescent="0.2">
      <c r="A131" s="10" t="s">
        <v>50</v>
      </c>
      <c r="B131" s="10" t="s">
        <v>638</v>
      </c>
      <c r="D131" s="83">
        <v>2560.1000061035156</v>
      </c>
      <c r="E131" s="83">
        <v>3255.309995174408</v>
      </c>
      <c r="F131" s="83">
        <v>6939.3999786376953</v>
      </c>
      <c r="G131" s="83">
        <v>9533.4600000000009</v>
      </c>
      <c r="H131" s="83"/>
      <c r="I131" s="83">
        <v>6624.2583333333332</v>
      </c>
      <c r="J131" s="83">
        <v>963</v>
      </c>
      <c r="K131" s="73">
        <f>(J131-I131)/I131</f>
        <v>-0.85462523477471064</v>
      </c>
    </row>
    <row r="132" spans="1:15" x14ac:dyDescent="0.2">
      <c r="A132" s="10" t="s">
        <v>227</v>
      </c>
      <c r="B132" s="10" t="s">
        <v>641</v>
      </c>
      <c r="D132" s="83">
        <v>4917.5099945068359</v>
      </c>
      <c r="E132" s="83">
        <v>4787.4799864888191</v>
      </c>
      <c r="F132" s="83">
        <v>5047.0400021076202</v>
      </c>
      <c r="G132" s="83">
        <v>5015.3100000000004</v>
      </c>
      <c r="H132" s="83"/>
      <c r="I132" s="83">
        <v>9955.69</v>
      </c>
      <c r="J132" s="83">
        <v>12499.500000000004</v>
      </c>
      <c r="K132" s="73">
        <f>(J132-I132)/I132</f>
        <v>0.25551317889568709</v>
      </c>
    </row>
    <row r="133" spans="1:15" x14ac:dyDescent="0.2">
      <c r="A133" s="10" t="s">
        <v>52</v>
      </c>
      <c r="B133" s="10" t="s">
        <v>638</v>
      </c>
      <c r="D133" s="83">
        <v>21672.349937617779</v>
      </c>
      <c r="E133" s="83">
        <v>24074.689969062805</v>
      </c>
      <c r="F133" s="83">
        <v>28269.600216597319</v>
      </c>
      <c r="G133" s="83">
        <v>29931.010000000002</v>
      </c>
      <c r="H133" s="83"/>
      <c r="I133" s="83">
        <v>32990.609999999986</v>
      </c>
      <c r="J133" s="83">
        <v>32993.54</v>
      </c>
      <c r="K133" s="73">
        <f>(J133-I133)/I133</f>
        <v>8.8813150166512354E-5</v>
      </c>
    </row>
    <row r="134" spans="1:15" x14ac:dyDescent="0.2">
      <c r="A134" s="10" t="s">
        <v>53</v>
      </c>
      <c r="B134" s="10" t="s">
        <v>639</v>
      </c>
      <c r="D134" s="83">
        <v>16.160000681877136</v>
      </c>
      <c r="E134" s="83">
        <v>34.010000228881836</v>
      </c>
      <c r="F134" s="83">
        <v>22.030000329017639</v>
      </c>
      <c r="G134" s="83">
        <v>9.93</v>
      </c>
      <c r="H134" s="83"/>
      <c r="I134" s="83">
        <v>17.823333333333331</v>
      </c>
      <c r="J134" s="83">
        <v>20.34</v>
      </c>
      <c r="K134" s="73">
        <v>0</v>
      </c>
    </row>
    <row r="135" spans="1:15" x14ac:dyDescent="0.2">
      <c r="A135" s="10" t="s">
        <v>55</v>
      </c>
      <c r="B135" s="10" t="s">
        <v>645</v>
      </c>
      <c r="D135" s="83">
        <v>4536.1600053310394</v>
      </c>
      <c r="E135" s="83">
        <v>5250.7500370740891</v>
      </c>
      <c r="F135" s="83">
        <v>5797.4399799108505</v>
      </c>
      <c r="G135" s="83">
        <v>2556.62</v>
      </c>
      <c r="H135" s="83"/>
      <c r="I135" s="83">
        <v>2958.0299999999997</v>
      </c>
      <c r="J135" s="83">
        <v>3469</v>
      </c>
      <c r="K135" s="73">
        <f>(J135-I135)/I135</f>
        <v>0.17273996544997863</v>
      </c>
    </row>
    <row r="136" spans="1:15" x14ac:dyDescent="0.2">
      <c r="A136" s="10" t="s">
        <v>56</v>
      </c>
      <c r="B136" s="10" t="s">
        <v>639</v>
      </c>
      <c r="D136" s="83">
        <v>24642.170152664185</v>
      </c>
      <c r="E136" s="83">
        <v>26179.530174255371</v>
      </c>
      <c r="F136" s="83">
        <v>39696.089859008789</v>
      </c>
      <c r="G136" s="83">
        <v>37580.33</v>
      </c>
      <c r="H136" s="83"/>
      <c r="I136" s="83">
        <v>38476.471666666657</v>
      </c>
      <c r="J136" s="83">
        <v>38789</v>
      </c>
      <c r="K136" s="73">
        <f>(J136-I136)/I136</f>
        <v>8.1225829655294408E-3</v>
      </c>
    </row>
    <row r="137" spans="1:15" x14ac:dyDescent="0.2">
      <c r="A137" s="10"/>
      <c r="B137" s="10"/>
      <c r="D137" s="83"/>
      <c r="E137" s="83"/>
      <c r="F137" s="83"/>
      <c r="G137" s="83"/>
      <c r="H137" s="83"/>
      <c r="I137" s="83"/>
      <c r="J137" s="83"/>
      <c r="K137" s="84"/>
    </row>
    <row r="138" spans="1:15" x14ac:dyDescent="0.2">
      <c r="A138" s="10" t="s">
        <v>57</v>
      </c>
      <c r="B138" s="10"/>
      <c r="C138" s="472" t="s">
        <v>261</v>
      </c>
      <c r="D138" s="89">
        <v>3520.1499633789063</v>
      </c>
      <c r="E138" s="89">
        <v>3512.6899795532227</v>
      </c>
      <c r="F138" s="89">
        <v>3500.05</v>
      </c>
      <c r="G138" s="89">
        <v>2823.8999999999996</v>
      </c>
      <c r="H138" s="89"/>
      <c r="I138" s="89">
        <v>2035.98</v>
      </c>
      <c r="J138" s="89">
        <v>2031.28</v>
      </c>
      <c r="K138" s="85"/>
    </row>
    <row r="139" spans="1:15" x14ac:dyDescent="0.2">
      <c r="C139" s="472" t="s">
        <v>278</v>
      </c>
      <c r="D139" s="89">
        <v>13714.339778900146</v>
      </c>
      <c r="E139" s="89">
        <v>13136.749953508377</v>
      </c>
      <c r="F139" s="89">
        <v>13479.23</v>
      </c>
      <c r="G139" s="89">
        <v>18531.54</v>
      </c>
      <c r="H139" s="89"/>
      <c r="I139" s="89">
        <v>19011.099999999995</v>
      </c>
      <c r="J139" s="89">
        <v>16638.54</v>
      </c>
      <c r="K139" s="85"/>
    </row>
    <row r="140" spans="1:15" x14ac:dyDescent="0.2">
      <c r="A140" s="2"/>
      <c r="B140" s="2"/>
      <c r="C140" s="472" t="s">
        <v>279</v>
      </c>
      <c r="D140" s="89">
        <v>1462.6599998474121</v>
      </c>
      <c r="E140" s="89">
        <v>1357.5200047492981</v>
      </c>
      <c r="F140" s="89">
        <v>699.98</v>
      </c>
      <c r="G140" s="89">
        <v>1128.74</v>
      </c>
      <c r="H140" s="89"/>
      <c r="I140" s="89">
        <v>1101.94</v>
      </c>
      <c r="J140" s="89">
        <v>1099.9999999999998</v>
      </c>
      <c r="K140" s="85"/>
    </row>
    <row r="141" spans="1:15" x14ac:dyDescent="0.2">
      <c r="A141" s="2"/>
      <c r="B141" s="2"/>
      <c r="C141" s="475" t="s">
        <v>268</v>
      </c>
      <c r="D141" s="81">
        <v>2840.2799835205078</v>
      </c>
      <c r="E141" s="81">
        <v>2540.4100036621094</v>
      </c>
      <c r="F141" s="81">
        <v>2226.58</v>
      </c>
      <c r="G141" s="81">
        <v>2064.69</v>
      </c>
      <c r="H141" s="81"/>
      <c r="I141" s="81">
        <v>2279.2800000000002</v>
      </c>
      <c r="J141" s="81">
        <v>2279.2800000000002</v>
      </c>
      <c r="K141" s="86"/>
    </row>
    <row r="142" spans="1:15" x14ac:dyDescent="0.2">
      <c r="A142" s="2"/>
      <c r="B142" s="2" t="s">
        <v>638</v>
      </c>
      <c r="C142" s="10" t="s">
        <v>270</v>
      </c>
      <c r="D142" s="14">
        <f t="shared" ref="D142:J142" si="10">SUM(D138:D141)</f>
        <v>21537.429725646973</v>
      </c>
      <c r="E142" s="14">
        <f t="shared" si="10"/>
        <v>20547.369941473007</v>
      </c>
      <c r="F142" s="14">
        <f t="shared" si="10"/>
        <v>19905.839999999997</v>
      </c>
      <c r="G142" s="103">
        <f t="shared" si="10"/>
        <v>24548.870000000003</v>
      </c>
      <c r="H142" s="103"/>
      <c r="I142" s="103">
        <f t="shared" si="10"/>
        <v>24428.299999999992</v>
      </c>
      <c r="J142" s="103">
        <f t="shared" si="10"/>
        <v>22049.1</v>
      </c>
      <c r="K142" s="73">
        <f>(J142-I142)/I142</f>
        <v>-9.7395234216052451E-2</v>
      </c>
    </row>
    <row r="143" spans="1:15" x14ac:dyDescent="0.2">
      <c r="A143" s="10"/>
      <c r="B143" s="10"/>
      <c r="D143" s="71"/>
      <c r="E143" s="71"/>
      <c r="F143" s="71"/>
      <c r="G143" s="71"/>
      <c r="H143" s="71"/>
      <c r="I143" s="71"/>
      <c r="J143" s="71"/>
      <c r="K143" s="73"/>
    </row>
    <row r="144" spans="1:15" ht="13.5" thickBot="1" x14ac:dyDescent="0.25">
      <c r="A144" s="40" t="s">
        <v>281</v>
      </c>
      <c r="B144" s="40"/>
      <c r="D144" s="480">
        <f t="shared" ref="D144:J144" si="11">D142+D136+D135+D134+D133+D132+D131+D130+D128+D118+D117+D116+D115</f>
        <v>276122.10040582716</v>
      </c>
      <c r="E144" s="480">
        <f t="shared" si="11"/>
        <v>324757.88109588623</v>
      </c>
      <c r="F144" s="480">
        <f t="shared" si="11"/>
        <v>359552.66024708387</v>
      </c>
      <c r="G144" s="480">
        <f t="shared" si="11"/>
        <v>367953.54000000004</v>
      </c>
      <c r="H144" s="480"/>
      <c r="I144" s="480">
        <f t="shared" si="11"/>
        <v>350637.88999999996</v>
      </c>
      <c r="J144" s="480">
        <f t="shared" si="11"/>
        <v>351487.62</v>
      </c>
      <c r="K144" s="73">
        <f>(J144-I144)/I144</f>
        <v>2.4233832801128243E-3</v>
      </c>
    </row>
    <row r="145" spans="1:11" x14ac:dyDescent="0.2">
      <c r="A145" s="10"/>
      <c r="B145" s="10"/>
      <c r="D145" s="71"/>
      <c r="E145" s="71"/>
      <c r="F145" s="71"/>
      <c r="G145" s="71"/>
      <c r="H145" s="71"/>
      <c r="I145" s="71"/>
      <c r="J145" s="71"/>
      <c r="K145" s="73"/>
    </row>
    <row r="146" spans="1:11" ht="13.5" thickBot="1" x14ac:dyDescent="0.25">
      <c r="A146" s="40" t="s">
        <v>282</v>
      </c>
      <c r="B146" s="40"/>
      <c r="D146" s="482">
        <f t="shared" ref="D146:J146" si="12">+D144+D112+D110</f>
        <v>2966106.685041979</v>
      </c>
      <c r="E146" s="482">
        <f t="shared" si="12"/>
        <v>3024217.5611627847</v>
      </c>
      <c r="F146" s="482">
        <f t="shared" si="12"/>
        <v>3193658.0249322318</v>
      </c>
      <c r="G146" s="482">
        <f t="shared" si="12"/>
        <v>3275840.8999999994</v>
      </c>
      <c r="H146" s="482"/>
      <c r="I146" s="482">
        <f t="shared" si="12"/>
        <v>3257386.8899999997</v>
      </c>
      <c r="J146" s="482">
        <f t="shared" si="12"/>
        <v>3386082.0300000003</v>
      </c>
      <c r="K146" s="73">
        <f>(J146-I146)/I146</f>
        <v>3.9508705703669302E-2</v>
      </c>
    </row>
    <row r="147" spans="1:11" ht="13.5" thickTop="1" x14ac:dyDescent="0.2">
      <c r="A147" s="2"/>
      <c r="B147" s="2"/>
      <c r="K147" s="479"/>
    </row>
    <row r="148" spans="1:11" x14ac:dyDescent="0.2">
      <c r="A148" s="483" t="s">
        <v>283</v>
      </c>
      <c r="B148" s="483"/>
      <c r="E148" s="484"/>
      <c r="F148" s="484"/>
      <c r="G148" s="484"/>
      <c r="H148" s="484"/>
      <c r="I148" s="484"/>
      <c r="J148" s="484"/>
      <c r="K148" s="485"/>
    </row>
    <row r="149" spans="1:11" x14ac:dyDescent="0.2">
      <c r="A149" s="483"/>
      <c r="B149" s="483"/>
      <c r="C149" s="9" t="s">
        <v>43</v>
      </c>
      <c r="D149" s="486">
        <f t="shared" ref="D149:J149" si="13">+D6+D116</f>
        <v>639117.47609341145</v>
      </c>
      <c r="E149" s="486">
        <f t="shared" si="13"/>
        <v>702638.7587890625</v>
      </c>
      <c r="F149" s="486">
        <f t="shared" si="13"/>
        <v>726996.517578125</v>
      </c>
      <c r="G149" s="486">
        <f t="shared" si="13"/>
        <v>747888.1399999999</v>
      </c>
      <c r="H149" s="486">
        <f t="shared" si="13"/>
        <v>0</v>
      </c>
      <c r="I149" s="486">
        <f t="shared" si="13"/>
        <v>711708.50833333354</v>
      </c>
      <c r="J149" s="486">
        <f t="shared" si="13"/>
        <v>744755.18000000017</v>
      </c>
      <c r="K149" s="485"/>
    </row>
    <row r="150" spans="1:11" x14ac:dyDescent="0.2">
      <c r="A150" s="483"/>
      <c r="B150" s="483"/>
      <c r="C150" s="9" t="s">
        <v>45</v>
      </c>
      <c r="D150" s="486">
        <f t="shared" ref="D150:J150" si="14">+D7</f>
        <v>23737.97998046875</v>
      </c>
      <c r="E150" s="486">
        <f t="shared" si="14"/>
        <v>19799.869995117188</v>
      </c>
      <c r="F150" s="486">
        <f t="shared" si="14"/>
        <v>16337.470097303391</v>
      </c>
      <c r="G150" s="486">
        <f t="shared" si="14"/>
        <v>15512.69</v>
      </c>
      <c r="H150" s="486">
        <f t="shared" si="14"/>
        <v>0</v>
      </c>
      <c r="I150" s="486">
        <f t="shared" si="14"/>
        <v>19566.010000000002</v>
      </c>
      <c r="J150" s="486">
        <f t="shared" si="14"/>
        <v>22695</v>
      </c>
      <c r="K150" s="485"/>
    </row>
    <row r="151" spans="1:11" x14ac:dyDescent="0.2">
      <c r="A151" s="483"/>
      <c r="B151" s="483"/>
      <c r="C151" s="9" t="s">
        <v>50</v>
      </c>
      <c r="D151" s="486">
        <f t="shared" ref="D151:J151" si="15">+D45+D131</f>
        <v>82225.801504611969</v>
      </c>
      <c r="E151" s="486">
        <f t="shared" si="15"/>
        <v>86067.580515936017</v>
      </c>
      <c r="F151" s="486">
        <f t="shared" si="15"/>
        <v>101545.14055526257</v>
      </c>
      <c r="G151" s="486">
        <f t="shared" si="15"/>
        <v>97955.400000000009</v>
      </c>
      <c r="H151" s="486">
        <f t="shared" si="15"/>
        <v>0</v>
      </c>
      <c r="I151" s="486">
        <f t="shared" si="15"/>
        <v>78814.258333333331</v>
      </c>
      <c r="J151" s="486">
        <f t="shared" si="15"/>
        <v>74431</v>
      </c>
      <c r="K151" s="485"/>
    </row>
    <row r="152" spans="1:11" x14ac:dyDescent="0.2">
      <c r="A152" s="483"/>
      <c r="B152" s="483"/>
      <c r="C152" s="9" t="s">
        <v>52</v>
      </c>
      <c r="D152" s="486">
        <f t="shared" ref="D152:J152" si="16">+D49+D133</f>
        <v>141845.03929030895</v>
      </c>
      <c r="E152" s="486">
        <f t="shared" si="16"/>
        <v>147216.34046006203</v>
      </c>
      <c r="F152" s="486">
        <f t="shared" si="16"/>
        <v>160931.19931107759</v>
      </c>
      <c r="G152" s="486">
        <f t="shared" si="16"/>
        <v>167745.85</v>
      </c>
      <c r="H152" s="486">
        <f t="shared" si="16"/>
        <v>0</v>
      </c>
      <c r="I152" s="486">
        <f t="shared" si="16"/>
        <v>180453.68666666662</v>
      </c>
      <c r="J152" s="486">
        <f t="shared" si="16"/>
        <v>183980.95</v>
      </c>
      <c r="K152" s="485"/>
    </row>
    <row r="153" spans="1:11" x14ac:dyDescent="0.2">
      <c r="A153" s="208"/>
      <c r="B153" s="208"/>
      <c r="C153" s="9" t="s">
        <v>264</v>
      </c>
      <c r="D153" s="487">
        <f t="shared" ref="D153:J153" si="17">+D98+D99+D100</f>
        <v>24818.680023193359</v>
      </c>
      <c r="E153" s="487">
        <f t="shared" si="17"/>
        <v>25858.459983825684</v>
      </c>
      <c r="F153" s="487">
        <f t="shared" si="17"/>
        <v>22158.659909009933</v>
      </c>
      <c r="G153" s="487">
        <f t="shared" si="17"/>
        <v>27646.01</v>
      </c>
      <c r="H153" s="487">
        <f t="shared" si="17"/>
        <v>0</v>
      </c>
      <c r="I153" s="487">
        <f t="shared" si="17"/>
        <v>25530.269999999997</v>
      </c>
      <c r="J153" s="487">
        <f t="shared" si="17"/>
        <v>26935.52</v>
      </c>
      <c r="K153" s="488"/>
    </row>
    <row r="154" spans="1:11" x14ac:dyDescent="0.2">
      <c r="A154" s="208"/>
      <c r="B154" s="208"/>
      <c r="C154" s="9" t="s">
        <v>247</v>
      </c>
      <c r="D154" s="487">
        <f t="shared" ref="D154:J154" si="18">+D48</f>
        <v>30031.2001953125</v>
      </c>
      <c r="E154" s="487">
        <f t="shared" si="18"/>
        <v>25289.670043945313</v>
      </c>
      <c r="F154" s="487">
        <f t="shared" si="18"/>
        <v>24132.81982421875</v>
      </c>
      <c r="G154" s="487">
        <f t="shared" si="18"/>
        <v>24843.16</v>
      </c>
      <c r="H154" s="487">
        <f t="shared" si="18"/>
        <v>0</v>
      </c>
      <c r="I154" s="487">
        <f t="shared" si="18"/>
        <v>28787.340000000004</v>
      </c>
      <c r="J154" s="487">
        <f t="shared" si="18"/>
        <v>28787.299999999992</v>
      </c>
      <c r="K154" s="488"/>
    </row>
    <row r="155" spans="1:11" x14ac:dyDescent="0.2">
      <c r="A155" s="483"/>
      <c r="B155" s="483"/>
      <c r="C155" s="9" t="s">
        <v>57</v>
      </c>
      <c r="D155" s="486">
        <f t="shared" ref="D155:J155" si="19">+D108-D98-D99-D100+D142</f>
        <v>292147.18979334831</v>
      </c>
      <c r="E155" s="486">
        <f t="shared" si="19"/>
        <v>288198.12060117722</v>
      </c>
      <c r="F155" s="486">
        <f t="shared" si="19"/>
        <v>284387.09958812234</v>
      </c>
      <c r="G155" s="486">
        <f t="shared" si="19"/>
        <v>278277.24000000005</v>
      </c>
      <c r="H155" s="486">
        <f t="shared" si="19"/>
        <v>0</v>
      </c>
      <c r="I155" s="486">
        <f t="shared" si="19"/>
        <v>267808.09999999998</v>
      </c>
      <c r="J155" s="486">
        <f t="shared" si="19"/>
        <v>281444.59999999998</v>
      </c>
      <c r="K155" s="485"/>
    </row>
    <row r="156" spans="1:11" x14ac:dyDescent="0.2">
      <c r="A156" s="208" t="s">
        <v>196</v>
      </c>
      <c r="B156" s="208"/>
      <c r="D156" s="489">
        <f t="shared" ref="D156:J156" si="20">SUM(D149:D155)</f>
        <v>1233923.3668806553</v>
      </c>
      <c r="E156" s="489">
        <f t="shared" si="20"/>
        <v>1295068.8003891259</v>
      </c>
      <c r="F156" s="489">
        <f t="shared" si="20"/>
        <v>1336488.9068631195</v>
      </c>
      <c r="G156" s="489">
        <f t="shared" si="20"/>
        <v>1359868.4899999998</v>
      </c>
      <c r="H156" s="489">
        <f t="shared" si="20"/>
        <v>0</v>
      </c>
      <c r="I156" s="489">
        <f t="shared" si="20"/>
        <v>1312668.1733333333</v>
      </c>
      <c r="J156" s="489">
        <f t="shared" si="20"/>
        <v>1363029.5500000003</v>
      </c>
      <c r="K156" s="488">
        <f>(J156-I156)/I156</f>
        <v>3.8365656827636353E-2</v>
      </c>
    </row>
    <row r="157" spans="1:11" x14ac:dyDescent="0.2">
      <c r="A157" s="208"/>
      <c r="B157" s="208"/>
      <c r="D157" s="490"/>
      <c r="E157" s="490"/>
      <c r="F157" s="490"/>
      <c r="G157" s="490"/>
      <c r="H157" s="490"/>
      <c r="I157" s="490"/>
      <c r="J157" s="490"/>
      <c r="K157" s="488"/>
    </row>
    <row r="158" spans="1:11" x14ac:dyDescent="0.2">
      <c r="A158" s="208" t="s">
        <v>273</v>
      </c>
      <c r="B158" s="208"/>
      <c r="D158" s="487">
        <f t="shared" ref="D158:J158" si="21">+D112</f>
        <v>107522.84005331993</v>
      </c>
      <c r="E158" s="487">
        <f t="shared" si="21"/>
        <v>107680.99012947083</v>
      </c>
      <c r="F158" s="487">
        <f t="shared" si="21"/>
        <v>120845.35040605068</v>
      </c>
      <c r="G158" s="487">
        <f t="shared" si="21"/>
        <v>127498.27999999998</v>
      </c>
      <c r="H158" s="487">
        <f t="shared" si="21"/>
        <v>0</v>
      </c>
      <c r="I158" s="487">
        <f t="shared" si="21"/>
        <v>150575.31</v>
      </c>
      <c r="J158" s="487">
        <f t="shared" si="21"/>
        <v>163952</v>
      </c>
      <c r="K158" s="488">
        <f>(J158-I158)/I158</f>
        <v>8.8837207109186772E-2</v>
      </c>
    </row>
    <row r="159" spans="1:11" x14ac:dyDescent="0.2">
      <c r="A159" s="208"/>
      <c r="B159" s="208"/>
      <c r="D159" s="487"/>
      <c r="E159" s="487"/>
      <c r="F159" s="487"/>
      <c r="G159" s="487"/>
      <c r="H159" s="487"/>
      <c r="I159" s="487"/>
      <c r="J159" s="487"/>
      <c r="K159" s="488"/>
    </row>
    <row r="160" spans="1:11" x14ac:dyDescent="0.2">
      <c r="A160" s="208"/>
      <c r="B160" s="208"/>
      <c r="C160" s="9" t="s">
        <v>227</v>
      </c>
      <c r="D160" s="487">
        <f t="shared" ref="D160:J160" si="22">+D46+D132</f>
        <v>133722.39961862564</v>
      </c>
      <c r="E160" s="487">
        <f t="shared" si="22"/>
        <v>120985.63995939493</v>
      </c>
      <c r="F160" s="487">
        <f t="shared" si="22"/>
        <v>115686.6101025939</v>
      </c>
      <c r="G160" s="487">
        <f t="shared" si="22"/>
        <v>118899.72</v>
      </c>
      <c r="H160" s="487">
        <f t="shared" si="22"/>
        <v>0</v>
      </c>
      <c r="I160" s="487">
        <f t="shared" si="22"/>
        <v>122062.66</v>
      </c>
      <c r="J160" s="487">
        <f t="shared" si="22"/>
        <v>135831.59</v>
      </c>
      <c r="K160" s="488"/>
    </row>
    <row r="161" spans="1:11" x14ac:dyDescent="0.2">
      <c r="A161" s="208"/>
      <c r="B161" s="208"/>
      <c r="C161" s="9" t="s">
        <v>54</v>
      </c>
      <c r="D161" s="487">
        <f t="shared" ref="D161:J161" si="23">+D80</f>
        <v>271900.88917589188</v>
      </c>
      <c r="E161" s="487">
        <f t="shared" si="23"/>
        <v>266407.86056959629</v>
      </c>
      <c r="F161" s="487">
        <f t="shared" si="23"/>
        <v>267836.8100438118</v>
      </c>
      <c r="G161" s="487">
        <f t="shared" si="23"/>
        <v>263959.17</v>
      </c>
      <c r="H161" s="487">
        <f t="shared" si="23"/>
        <v>0</v>
      </c>
      <c r="I161" s="487">
        <f t="shared" si="23"/>
        <v>265465.37</v>
      </c>
      <c r="J161" s="487">
        <f t="shared" si="23"/>
        <v>280333</v>
      </c>
      <c r="K161" s="488"/>
    </row>
    <row r="162" spans="1:11" x14ac:dyDescent="0.2">
      <c r="A162" s="208" t="s">
        <v>228</v>
      </c>
      <c r="B162" s="208"/>
      <c r="D162" s="489">
        <f t="shared" ref="D162:J162" si="24">SUM(D160:D161)</f>
        <v>405623.28879451752</v>
      </c>
      <c r="E162" s="489">
        <f t="shared" si="24"/>
        <v>387393.50052899122</v>
      </c>
      <c r="F162" s="489">
        <f t="shared" si="24"/>
        <v>383523.4201464057</v>
      </c>
      <c r="G162" s="489">
        <f t="shared" si="24"/>
        <v>382858.89</v>
      </c>
      <c r="H162" s="489">
        <f t="shared" si="24"/>
        <v>0</v>
      </c>
      <c r="I162" s="489">
        <f t="shared" si="24"/>
        <v>387528.03</v>
      </c>
      <c r="J162" s="489">
        <f t="shared" si="24"/>
        <v>416164.58999999997</v>
      </c>
      <c r="K162" s="488">
        <f>(J162-I162)/I162</f>
        <v>7.3895454736525604E-2</v>
      </c>
    </row>
    <row r="163" spans="1:11" x14ac:dyDescent="0.2">
      <c r="A163" s="208"/>
      <c r="B163" s="208"/>
      <c r="D163" s="490"/>
      <c r="E163" s="490"/>
      <c r="F163" s="490"/>
      <c r="G163" s="490"/>
      <c r="H163" s="490"/>
      <c r="I163" s="490"/>
      <c r="J163" s="490"/>
      <c r="K163" s="488"/>
    </row>
    <row r="164" spans="1:11" x14ac:dyDescent="0.2">
      <c r="A164" s="208"/>
      <c r="B164" s="208"/>
      <c r="C164" s="9" t="s">
        <v>199</v>
      </c>
      <c r="D164" s="490">
        <f t="shared" ref="D164:J164" si="25">+D9+D118</f>
        <v>120277.50945472717</v>
      </c>
      <c r="E164" s="490">
        <f t="shared" si="25"/>
        <v>126238.83992028236</v>
      </c>
      <c r="F164" s="490">
        <f t="shared" si="25"/>
        <v>123570.8993434906</v>
      </c>
      <c r="G164" s="490">
        <f t="shared" si="25"/>
        <v>123144.89999999998</v>
      </c>
      <c r="H164" s="490">
        <f t="shared" si="25"/>
        <v>0</v>
      </c>
      <c r="I164" s="490">
        <f t="shared" si="25"/>
        <v>124751.10999999999</v>
      </c>
      <c r="J164" s="490">
        <f t="shared" si="25"/>
        <v>128696</v>
      </c>
      <c r="K164" s="488"/>
    </row>
    <row r="165" spans="1:11" x14ac:dyDescent="0.2">
      <c r="A165" s="208"/>
      <c r="B165" s="208"/>
      <c r="C165" s="9" t="s">
        <v>48</v>
      </c>
      <c r="D165" s="490">
        <f t="shared" ref="D165:J165" si="26">+D42+D128</f>
        <v>386026.49013201892</v>
      </c>
      <c r="E165" s="490">
        <f t="shared" si="26"/>
        <v>383247.10050421953</v>
      </c>
      <c r="F165" s="490">
        <f t="shared" si="26"/>
        <v>397644.6508628726</v>
      </c>
      <c r="G165" s="490">
        <f t="shared" si="26"/>
        <v>438365.25999999995</v>
      </c>
      <c r="H165" s="490">
        <f t="shared" si="26"/>
        <v>0</v>
      </c>
      <c r="I165" s="490">
        <f t="shared" si="26"/>
        <v>429402.78</v>
      </c>
      <c r="J165" s="490">
        <f t="shared" si="26"/>
        <v>441665</v>
      </c>
      <c r="K165" s="488"/>
    </row>
    <row r="166" spans="1:11" x14ac:dyDescent="0.2">
      <c r="A166" s="208"/>
      <c r="B166" s="208"/>
      <c r="C166" s="9" t="s">
        <v>49</v>
      </c>
      <c r="D166" s="490">
        <f t="shared" ref="D166:J166" si="27">+D44+D130</f>
        <v>53748.410264521837</v>
      </c>
      <c r="E166" s="490">
        <f t="shared" si="27"/>
        <v>54354.520526885986</v>
      </c>
      <c r="F166" s="490">
        <f t="shared" si="27"/>
        <v>53184.759956598282</v>
      </c>
      <c r="G166" s="490">
        <f t="shared" si="27"/>
        <v>63430.759999999995</v>
      </c>
      <c r="H166" s="490">
        <f t="shared" si="27"/>
        <v>0</v>
      </c>
      <c r="I166" s="490">
        <f t="shared" si="27"/>
        <v>72257.559999999983</v>
      </c>
      <c r="J166" s="490">
        <f t="shared" si="27"/>
        <v>85903.799999999988</v>
      </c>
      <c r="K166" s="488"/>
    </row>
    <row r="167" spans="1:11" x14ac:dyDescent="0.2">
      <c r="A167" s="208" t="s">
        <v>197</v>
      </c>
      <c r="B167" s="208"/>
      <c r="D167" s="489">
        <f t="shared" ref="D167:J167" si="28">SUM(D164:D166)</f>
        <v>560052.40985126793</v>
      </c>
      <c r="E167" s="489">
        <f t="shared" si="28"/>
        <v>563840.46095138788</v>
      </c>
      <c r="F167" s="489">
        <f t="shared" si="28"/>
        <v>574400.31016296148</v>
      </c>
      <c r="G167" s="489">
        <f t="shared" si="28"/>
        <v>624940.91999999993</v>
      </c>
      <c r="H167" s="489">
        <f t="shared" si="28"/>
        <v>0</v>
      </c>
      <c r="I167" s="489">
        <f t="shared" si="28"/>
        <v>626411.44999999995</v>
      </c>
      <c r="J167" s="489">
        <f t="shared" si="28"/>
        <v>656264.80000000005</v>
      </c>
      <c r="K167" s="488">
        <f>(J167-I167)/I167</f>
        <v>4.7657733587085763E-2</v>
      </c>
    </row>
    <row r="168" spans="1:11" x14ac:dyDescent="0.2">
      <c r="A168" s="208"/>
      <c r="B168" s="208"/>
      <c r="D168" s="490"/>
      <c r="E168" s="490"/>
      <c r="F168" s="490"/>
      <c r="G168" s="490"/>
      <c r="H168" s="490"/>
      <c r="I168" s="490"/>
      <c r="J168" s="490"/>
      <c r="K168" s="488"/>
    </row>
    <row r="169" spans="1:11" x14ac:dyDescent="0.2">
      <c r="A169" s="208" t="s">
        <v>253</v>
      </c>
      <c r="B169" s="208"/>
      <c r="D169" s="487">
        <f t="shared" ref="D169:J169" si="29">+D82+D135</f>
        <v>103734.50005507469</v>
      </c>
      <c r="E169" s="487">
        <f t="shared" si="29"/>
        <v>102747.43110024929</v>
      </c>
      <c r="F169" s="487">
        <f t="shared" si="29"/>
        <v>115884.44892156124</v>
      </c>
      <c r="G169" s="487">
        <f t="shared" si="29"/>
        <v>112830.42999999998</v>
      </c>
      <c r="H169" s="487">
        <f t="shared" si="29"/>
        <v>0</v>
      </c>
      <c r="I169" s="487">
        <f t="shared" si="29"/>
        <v>108302.03</v>
      </c>
      <c r="J169" s="487">
        <f t="shared" si="29"/>
        <v>106690</v>
      </c>
      <c r="K169" s="488">
        <f>(J169-I169)/I169</f>
        <v>-1.4884577879103456E-2</v>
      </c>
    </row>
    <row r="170" spans="1:11" x14ac:dyDescent="0.2">
      <c r="A170" s="208"/>
      <c r="B170" s="208"/>
      <c r="D170" s="487"/>
      <c r="E170" s="487"/>
      <c r="F170" s="487"/>
      <c r="G170" s="487"/>
      <c r="H170" s="487"/>
      <c r="I170" s="487"/>
      <c r="J170" s="487"/>
      <c r="K170" s="488"/>
    </row>
    <row r="171" spans="1:11" x14ac:dyDescent="0.2">
      <c r="A171" s="208"/>
      <c r="B171" s="208"/>
      <c r="C171" s="9" t="s">
        <v>650</v>
      </c>
      <c r="D171" s="487">
        <f t="shared" ref="D171:J171" si="30">+D115</f>
        <v>8896</v>
      </c>
      <c r="E171" s="487">
        <f t="shared" si="30"/>
        <v>22435</v>
      </c>
      <c r="F171" s="487">
        <f t="shared" si="30"/>
        <v>29481.290119111538</v>
      </c>
      <c r="G171" s="487">
        <f t="shared" si="30"/>
        <v>16379.88</v>
      </c>
      <c r="H171" s="487">
        <f t="shared" si="30"/>
        <v>0</v>
      </c>
      <c r="I171" s="487">
        <f t="shared" si="30"/>
        <v>19875.139999999996</v>
      </c>
      <c r="J171" s="487">
        <f t="shared" si="30"/>
        <v>20189.14</v>
      </c>
      <c r="K171" s="488"/>
    </row>
    <row r="172" spans="1:11" x14ac:dyDescent="0.2">
      <c r="A172" s="208"/>
      <c r="B172" s="208"/>
      <c r="C172" s="9" t="s">
        <v>46</v>
      </c>
      <c r="D172" s="487">
        <f t="shared" ref="D172:J172" si="31">+D8+D117</f>
        <v>227317.15839076042</v>
      </c>
      <c r="E172" s="487">
        <f t="shared" si="31"/>
        <v>248982.86877286434</v>
      </c>
      <c r="F172" s="487">
        <f t="shared" si="31"/>
        <v>253481.00990509987</v>
      </c>
      <c r="G172" s="487">
        <f t="shared" si="31"/>
        <v>292443.01999999996</v>
      </c>
      <c r="H172" s="487">
        <f t="shared" si="31"/>
        <v>0</v>
      </c>
      <c r="I172" s="487">
        <f t="shared" si="31"/>
        <v>291097.14333333331</v>
      </c>
      <c r="J172" s="487">
        <f t="shared" si="31"/>
        <v>292177</v>
      </c>
      <c r="K172" s="488"/>
    </row>
    <row r="173" spans="1:11" x14ac:dyDescent="0.2">
      <c r="A173" s="208"/>
      <c r="B173" s="208"/>
      <c r="C173" s="9" t="s">
        <v>53</v>
      </c>
      <c r="D173" s="487">
        <f t="shared" ref="D173:J173" si="32">+D52+D134</f>
        <v>93823.519635081291</v>
      </c>
      <c r="E173" s="487">
        <f t="shared" si="32"/>
        <v>93924.569021224976</v>
      </c>
      <c r="F173" s="487">
        <f t="shared" si="32"/>
        <v>99598.909730553627</v>
      </c>
      <c r="G173" s="487">
        <f t="shared" si="32"/>
        <v>97286</v>
      </c>
      <c r="H173" s="487">
        <f t="shared" si="32"/>
        <v>0</v>
      </c>
      <c r="I173" s="487">
        <f t="shared" si="32"/>
        <v>93630.403333333321</v>
      </c>
      <c r="J173" s="487">
        <f t="shared" si="32"/>
        <v>95337.34</v>
      </c>
      <c r="K173" s="488"/>
    </row>
    <row r="174" spans="1:11" x14ac:dyDescent="0.2">
      <c r="A174" s="208"/>
      <c r="B174" s="208"/>
      <c r="C174" s="9" t="s">
        <v>56</v>
      </c>
      <c r="D174" s="487">
        <f t="shared" ref="D174:J174" si="33">+D83+D136</f>
        <v>225213.60138130188</v>
      </c>
      <c r="E174" s="487">
        <f t="shared" si="33"/>
        <v>202143.94026947021</v>
      </c>
      <c r="F174" s="487">
        <f t="shared" si="33"/>
        <v>279954.37867736816</v>
      </c>
      <c r="G174" s="487">
        <f t="shared" si="33"/>
        <v>261734.99</v>
      </c>
      <c r="H174" s="487">
        <f t="shared" si="33"/>
        <v>0</v>
      </c>
      <c r="I174" s="487">
        <f t="shared" si="33"/>
        <v>267299.21000000008</v>
      </c>
      <c r="J174" s="487">
        <f t="shared" si="33"/>
        <v>272277.60999999987</v>
      </c>
      <c r="K174" s="488"/>
    </row>
    <row r="175" spans="1:11" x14ac:dyDescent="0.2">
      <c r="A175" s="208" t="s">
        <v>232</v>
      </c>
      <c r="B175" s="208"/>
      <c r="D175" s="489">
        <f t="shared" ref="D175:J175" si="34">SUM(D171:D174)</f>
        <v>555250.27940714359</v>
      </c>
      <c r="E175" s="489">
        <f t="shared" si="34"/>
        <v>567486.37806355953</v>
      </c>
      <c r="F175" s="489">
        <f t="shared" si="34"/>
        <v>662515.5884321332</v>
      </c>
      <c r="G175" s="489">
        <f t="shared" si="34"/>
        <v>667843.8899999999</v>
      </c>
      <c r="H175" s="489">
        <f t="shared" si="34"/>
        <v>0</v>
      </c>
      <c r="I175" s="489">
        <f t="shared" si="34"/>
        <v>671901.89666666673</v>
      </c>
      <c r="J175" s="489">
        <f t="shared" si="34"/>
        <v>679981.08999999985</v>
      </c>
      <c r="K175" s="488">
        <f>(J175-I175)/I175</f>
        <v>1.202436452912894E-2</v>
      </c>
    </row>
    <row r="176" spans="1:11" x14ac:dyDescent="0.2">
      <c r="A176" s="208" t="s">
        <v>77</v>
      </c>
      <c r="B176" s="208"/>
      <c r="D176" s="489">
        <f t="shared" ref="D176:J176" si="35">+D156+D158+D162+D167+D169+D175</f>
        <v>2966106.685041979</v>
      </c>
      <c r="E176" s="489">
        <f t="shared" si="35"/>
        <v>3024217.5611627847</v>
      </c>
      <c r="F176" s="489">
        <f t="shared" si="35"/>
        <v>3193658.0249322318</v>
      </c>
      <c r="G176" s="489">
        <f t="shared" si="35"/>
        <v>3275840.8999999994</v>
      </c>
      <c r="H176" s="489">
        <f t="shared" si="35"/>
        <v>0</v>
      </c>
      <c r="I176" s="489">
        <f t="shared" si="35"/>
        <v>3257386.8899999997</v>
      </c>
      <c r="J176" s="489">
        <f t="shared" si="35"/>
        <v>3386082.0300000003</v>
      </c>
      <c r="K176" s="488">
        <f>(J176-I176)/I176</f>
        <v>3.9508705703669302E-2</v>
      </c>
    </row>
    <row r="177" spans="1:11" x14ac:dyDescent="0.2">
      <c r="A177" s="484"/>
      <c r="B177" s="484"/>
      <c r="D177" s="486">
        <f t="shared" ref="D177:J177" si="36">+D176-D146</f>
        <v>0</v>
      </c>
      <c r="E177" s="486">
        <f t="shared" si="36"/>
        <v>0</v>
      </c>
      <c r="F177" s="486">
        <f t="shared" si="36"/>
        <v>0</v>
      </c>
      <c r="G177" s="486">
        <f t="shared" si="36"/>
        <v>0</v>
      </c>
      <c r="H177" s="486">
        <f t="shared" si="36"/>
        <v>0</v>
      </c>
      <c r="I177" s="486">
        <f t="shared" si="36"/>
        <v>0</v>
      </c>
      <c r="J177" s="486">
        <f t="shared" si="36"/>
        <v>0</v>
      </c>
      <c r="K177" s="484"/>
    </row>
    <row r="179" spans="1:11" x14ac:dyDescent="0.2">
      <c r="A179" s="9" t="s">
        <v>651</v>
      </c>
      <c r="E179" s="83"/>
      <c r="F179" s="83">
        <f>+'[15]Surgery Summary'!D134+'[15]Surgery Summary'!D147</f>
        <v>1336520.9068638349</v>
      </c>
      <c r="G179" s="83">
        <f>+'[15]Surgery Summary'!F134+'[15]Surgery Summary'!F147</f>
        <v>1359848.1799999997</v>
      </c>
      <c r="H179" s="83">
        <f>+'[15]Surgery Summary'!H134+'[15]Surgery Summary'!H147</f>
        <v>0</v>
      </c>
      <c r="I179" s="83">
        <f>+'[15]Surgery Summary'!J134+'[15]Surgery Summary'!J147</f>
        <v>1312668.1733333338</v>
      </c>
      <c r="J179" s="83">
        <f>+'[15]Surgery Summary'!L134+'[15]Surgery Summary'!L147</f>
        <v>1363029.5500000003</v>
      </c>
      <c r="K179" s="9"/>
    </row>
    <row r="180" spans="1:11" x14ac:dyDescent="0.2">
      <c r="A180" s="9" t="s">
        <v>652</v>
      </c>
      <c r="E180" s="83"/>
      <c r="F180" s="83">
        <f>+'[15]Cancer Center Summary'!D17</f>
        <v>120845.35040605068</v>
      </c>
      <c r="G180" s="83">
        <f>+'[15]Cancer Center Summary'!F17</f>
        <v>127498.27999999998</v>
      </c>
      <c r="H180" s="83">
        <f>+'[15]Cancer Center Summary'!H17</f>
        <v>0</v>
      </c>
      <c r="I180" s="83">
        <f>+'[15]Cancer Center Summary'!J17</f>
        <v>150575.31</v>
      </c>
      <c r="J180" s="83">
        <f>+'[15]Cancer Center Summary'!L17</f>
        <v>163951.40999999992</v>
      </c>
      <c r="K180" s="9"/>
    </row>
    <row r="181" spans="1:11" x14ac:dyDescent="0.2">
      <c r="A181" s="9" t="s">
        <v>653</v>
      </c>
      <c r="E181" s="83"/>
      <c r="F181" s="83">
        <f>+'[15]Women &amp; Children Summary'!D87+'[15]Women &amp; Children Summary'!D93</f>
        <v>383512.94014686346</v>
      </c>
      <c r="G181" s="83">
        <f>+'[15]Women &amp; Children Summary'!F87+'[15]Women &amp; Children Summary'!F93</f>
        <v>382828.06</v>
      </c>
      <c r="H181" s="83">
        <f>+'[15]Women &amp; Children Summary'!H87+'[15]Women &amp; Children Summary'!H93</f>
        <v>0</v>
      </c>
      <c r="I181" s="83">
        <f>+'[15]Women &amp; Children Summary'!J87+'[15]Women &amp; Children Summary'!J93</f>
        <v>387515.05</v>
      </c>
      <c r="J181" s="83">
        <f>+'[15]Women &amp; Children Summary'!L87+'[15]Women &amp; Children Summary'!L93</f>
        <v>409656.43999999994</v>
      </c>
      <c r="K181" s="9"/>
    </row>
    <row r="182" spans="1:11" x14ac:dyDescent="0.2">
      <c r="A182" s="9" t="s">
        <v>654</v>
      </c>
      <c r="E182" s="83"/>
      <c r="F182" s="83">
        <f>+'[15]Adult &amp; Primary Summary'!D129+'[15]Adult &amp; Primary Summary'!D145</f>
        <v>574368.31016224623</v>
      </c>
      <c r="G182" s="83">
        <f>+'[15]Adult &amp; Primary Summary'!F129+'[15]Adult &amp; Primary Summary'!F145</f>
        <v>624889.48999999987</v>
      </c>
      <c r="H182" s="83">
        <f>+'[15]Adult &amp; Primary Summary'!H129+'[15]Adult &amp; Primary Summary'!H145</f>
        <v>0</v>
      </c>
      <c r="I182" s="83">
        <f>+'[15]Adult &amp; Primary Summary'!J129+'[15]Adult &amp; Primary Summary'!J145</f>
        <v>626367.44999999995</v>
      </c>
      <c r="J182" s="83">
        <f>+'[15]Adult &amp; Primary Summary'!L129+'[15]Adult &amp; Primary Summary'!L145</f>
        <v>652944.30000000005</v>
      </c>
      <c r="K182" s="9"/>
    </row>
    <row r="183" spans="1:11" x14ac:dyDescent="0.2">
      <c r="A183" s="9" t="s">
        <v>655</v>
      </c>
      <c r="E183" s="83"/>
      <c r="F183" s="83">
        <f>+'[15]Behavioral Summary'!D103+'[15]Behavioral Summary'!D109</f>
        <v>115884.44892156124</v>
      </c>
      <c r="G183" s="83">
        <f>+'[15]Behavioral Summary'!F103+'[15]Behavioral Summary'!F109</f>
        <v>112830.42999999998</v>
      </c>
      <c r="H183" s="83">
        <f>+'[15]Behavioral Summary'!H103+'[15]Behavioral Summary'!H109</f>
        <v>0</v>
      </c>
      <c r="I183" s="83">
        <f>+'[15]Behavioral Summary'!J103+'[15]Behavioral Summary'!J109</f>
        <v>108302.03</v>
      </c>
      <c r="J183" s="83">
        <f>+'[15]Behavioral Summary'!L103+'[15]Behavioral Summary'!L109</f>
        <v>104787</v>
      </c>
      <c r="K183" s="9"/>
    </row>
    <row r="184" spans="1:11" x14ac:dyDescent="0.2">
      <c r="A184" s="9" t="s">
        <v>656</v>
      </c>
      <c r="E184" s="83"/>
      <c r="F184" s="83">
        <f>+'[15]Hospital Based Services Summary'!C80+'[15]Hospital Based Services Summary'!C88</f>
        <v>633034.29831302166</v>
      </c>
      <c r="G184" s="83">
        <f>+'[15]Hospital Based Services Summary'!E80+'[15]Hospital Based Services Summary'!E88</f>
        <v>651464.01</v>
      </c>
      <c r="H184" s="83">
        <f>+'[15]Hospital Based Services Summary'!G80+'[15]Hospital Based Services Summary'!G88</f>
        <v>0</v>
      </c>
      <c r="I184" s="83">
        <f>+'[15]Hospital Based Services Summary'!I80+'[15]Hospital Based Services Summary'!I88</f>
        <v>652026.75666666671</v>
      </c>
      <c r="J184" s="83">
        <f>+'[15]Hospital Based Services Summary'!K80+'[15]Hospital Based Services Summary'!K88</f>
        <v>659418.94999999984</v>
      </c>
      <c r="K184" s="9"/>
    </row>
    <row r="185" spans="1:11" x14ac:dyDescent="0.2">
      <c r="E185" s="103"/>
      <c r="F185" s="103">
        <f>+F184-F175+F171</f>
        <v>0</v>
      </c>
      <c r="G185" s="103">
        <f>+G184-G175+G171</f>
        <v>1.1095835361629725E-10</v>
      </c>
      <c r="H185" s="103">
        <f>+H184-H175+H171</f>
        <v>0</v>
      </c>
      <c r="I185" s="103">
        <f>+I184-I175+I171</f>
        <v>0</v>
      </c>
      <c r="J185" s="103">
        <f>+J184-J175+J171</f>
        <v>-373.00000000001455</v>
      </c>
      <c r="K185" s="9"/>
    </row>
    <row r="186" spans="1:11" x14ac:dyDescent="0.2">
      <c r="E186" s="9"/>
      <c r="F186" s="9"/>
      <c r="G186" s="9"/>
      <c r="H186" s="9"/>
      <c r="I186" s="9"/>
      <c r="J186" s="9"/>
      <c r="K186" s="9"/>
    </row>
    <row r="187" spans="1:11" x14ac:dyDescent="0.2">
      <c r="E187" s="9"/>
      <c r="F187" s="9"/>
      <c r="G187" s="9"/>
      <c r="H187" s="9"/>
      <c r="I187" s="9"/>
      <c r="J187" s="9"/>
      <c r="K187" s="9"/>
    </row>
    <row r="188" spans="1:11" x14ac:dyDescent="0.2">
      <c r="E188" s="9"/>
      <c r="F188" s="9"/>
      <c r="G188" s="9"/>
      <c r="H188" s="9"/>
      <c r="I188" s="9"/>
      <c r="J188" s="9"/>
      <c r="K188" s="9"/>
    </row>
    <row r="189" spans="1:11" x14ac:dyDescent="0.2">
      <c r="E189" s="9"/>
      <c r="F189" s="9"/>
      <c r="G189" s="9"/>
      <c r="H189" s="9"/>
      <c r="I189" s="9"/>
      <c r="J189" s="9"/>
      <c r="K189" s="9"/>
    </row>
    <row r="190" spans="1:11" x14ac:dyDescent="0.2">
      <c r="E190" s="9"/>
      <c r="F190" s="9"/>
      <c r="G190" s="9"/>
      <c r="H190" s="9"/>
      <c r="I190" s="9"/>
      <c r="J190" s="9"/>
      <c r="K190" s="9"/>
    </row>
  </sheetData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19"/>
  <sheetViews>
    <sheetView zoomScale="110" zoomScaleNormal="110" workbookViewId="0">
      <pane xSplit="3" ySplit="6" topLeftCell="AV445" activePane="bottomRight" state="frozen"/>
      <selection activeCell="AG383" sqref="AG383"/>
      <selection pane="topRight" activeCell="AG383" sqref="AG383"/>
      <selection pane="bottomLeft" activeCell="AG383" sqref="AG383"/>
      <selection pane="bottomRight" activeCell="AX410" sqref="AX410"/>
    </sheetView>
  </sheetViews>
  <sheetFormatPr defaultColWidth="9.140625" defaultRowHeight="15" x14ac:dyDescent="0.25"/>
  <cols>
    <col min="1" max="1" width="16.85546875" style="664" customWidth="1"/>
    <col min="2" max="2" width="48.7109375" style="662" bestFit="1" customWidth="1"/>
    <col min="3" max="3" width="16" style="662" bestFit="1" customWidth="1"/>
    <col min="4" max="4" width="34.140625" style="662" customWidth="1"/>
    <col min="5" max="16" width="9.5703125" style="662" bestFit="1" customWidth="1"/>
    <col min="17" max="17" width="10.5703125" style="662" bestFit="1" customWidth="1"/>
    <col min="18" max="18" width="2.28515625" style="662" customWidth="1"/>
    <col min="19" max="22" width="9.5703125" style="662" bestFit="1" customWidth="1"/>
    <col min="23" max="30" width="9.5703125" style="663" bestFit="1" customWidth="1"/>
    <col min="31" max="31" width="10.5703125" style="663" bestFit="1" customWidth="1"/>
    <col min="32" max="32" width="2.28515625" style="663" customWidth="1"/>
    <col min="33" max="45" width="9.140625" style="663"/>
    <col min="46" max="46" width="4" style="663" customWidth="1"/>
    <col min="47" max="16384" width="9.140625" style="663"/>
  </cols>
  <sheetData>
    <row r="1" spans="1:55" x14ac:dyDescent="0.25">
      <c r="A1" s="661" t="s">
        <v>898</v>
      </c>
      <c r="W1" s="663">
        <v>30</v>
      </c>
      <c r="X1" s="663">
        <v>31</v>
      </c>
      <c r="Y1" s="663">
        <v>31</v>
      </c>
      <c r="Z1" s="663">
        <v>28</v>
      </c>
      <c r="AA1" s="663">
        <v>31</v>
      </c>
      <c r="AB1" s="663">
        <v>30</v>
      </c>
      <c r="AC1" s="663">
        <v>31</v>
      </c>
      <c r="AD1" s="663">
        <v>30</v>
      </c>
    </row>
    <row r="2" spans="1:55" x14ac:dyDescent="0.25">
      <c r="A2" s="664" t="s">
        <v>899</v>
      </c>
      <c r="W2" s="665"/>
    </row>
    <row r="3" spans="1:55" x14ac:dyDescent="0.25">
      <c r="A3" s="664" t="s">
        <v>900</v>
      </c>
    </row>
    <row r="5" spans="1:55" x14ac:dyDescent="0.25">
      <c r="A5" s="666" t="s">
        <v>901</v>
      </c>
      <c r="B5" s="667" t="s">
        <v>902</v>
      </c>
      <c r="C5" s="666" t="s">
        <v>903</v>
      </c>
      <c r="D5" s="666"/>
      <c r="E5" s="668" t="s">
        <v>904</v>
      </c>
      <c r="F5" s="668" t="s">
        <v>904</v>
      </c>
      <c r="G5" s="668" t="s">
        <v>904</v>
      </c>
      <c r="H5" s="668" t="s">
        <v>904</v>
      </c>
      <c r="I5" s="668" t="s">
        <v>904</v>
      </c>
      <c r="J5" s="668" t="s">
        <v>904</v>
      </c>
      <c r="K5" s="668" t="s">
        <v>905</v>
      </c>
      <c r="L5" s="668" t="s">
        <v>905</v>
      </c>
      <c r="M5" s="668" t="s">
        <v>905</v>
      </c>
      <c r="N5" s="668" t="s">
        <v>905</v>
      </c>
      <c r="O5" s="668" t="s">
        <v>905</v>
      </c>
      <c r="P5" s="668" t="s">
        <v>905</v>
      </c>
      <c r="Q5" s="668" t="s">
        <v>188</v>
      </c>
      <c r="R5" s="669"/>
      <c r="S5" s="668" t="s">
        <v>905</v>
      </c>
      <c r="T5" s="668" t="s">
        <v>905</v>
      </c>
      <c r="U5" s="668" t="s">
        <v>905</v>
      </c>
      <c r="V5" s="668" t="s">
        <v>905</v>
      </c>
      <c r="W5" s="670" t="s">
        <v>905</v>
      </c>
      <c r="X5" s="670" t="s">
        <v>905</v>
      </c>
      <c r="Y5" s="671" t="s">
        <v>906</v>
      </c>
      <c r="Z5" s="671" t="s">
        <v>906</v>
      </c>
      <c r="AA5" s="671" t="s">
        <v>906</v>
      </c>
      <c r="AB5" s="671" t="s">
        <v>906</v>
      </c>
      <c r="AC5" s="671" t="s">
        <v>906</v>
      </c>
      <c r="AD5" s="671" t="s">
        <v>906</v>
      </c>
      <c r="AE5" s="670" t="s">
        <v>907</v>
      </c>
      <c r="AG5" s="671" t="s">
        <v>906</v>
      </c>
      <c r="AH5" s="671" t="s">
        <v>906</v>
      </c>
      <c r="AI5" s="671" t="s">
        <v>906</v>
      </c>
      <c r="AJ5" s="671" t="s">
        <v>906</v>
      </c>
      <c r="AK5" s="671" t="s">
        <v>906</v>
      </c>
      <c r="AL5" s="671" t="s">
        <v>906</v>
      </c>
      <c r="AM5" s="671" t="s">
        <v>908</v>
      </c>
      <c r="AN5" s="671" t="s">
        <v>908</v>
      </c>
      <c r="AO5" s="671" t="s">
        <v>908</v>
      </c>
      <c r="AP5" s="671" t="s">
        <v>908</v>
      </c>
      <c r="AQ5" s="671" t="s">
        <v>908</v>
      </c>
      <c r="AR5" s="671" t="s">
        <v>908</v>
      </c>
      <c r="AS5" s="670" t="s">
        <v>909</v>
      </c>
      <c r="AU5" s="670" t="s">
        <v>910</v>
      </c>
      <c r="AV5" s="670" t="s">
        <v>911</v>
      </c>
      <c r="AW5" s="671" t="s">
        <v>912</v>
      </c>
      <c r="AX5" s="670" t="s">
        <v>913</v>
      </c>
      <c r="AY5" s="671" t="s">
        <v>914</v>
      </c>
      <c r="AZ5" s="671"/>
      <c r="BA5" s="671"/>
    </row>
    <row r="6" spans="1:55" x14ac:dyDescent="0.25">
      <c r="A6" s="666" t="s">
        <v>915</v>
      </c>
      <c r="B6" s="672" t="s">
        <v>916</v>
      </c>
      <c r="C6" s="666" t="s">
        <v>917</v>
      </c>
      <c r="D6" s="673" t="s">
        <v>918</v>
      </c>
      <c r="E6" s="674" t="s">
        <v>919</v>
      </c>
      <c r="F6" s="674" t="s">
        <v>920</v>
      </c>
      <c r="G6" s="674" t="s">
        <v>921</v>
      </c>
      <c r="H6" s="674" t="s">
        <v>922</v>
      </c>
      <c r="I6" s="674" t="s">
        <v>923</v>
      </c>
      <c r="J6" s="674" t="s">
        <v>924</v>
      </c>
      <c r="K6" s="674" t="s">
        <v>925</v>
      </c>
      <c r="L6" s="674" t="s">
        <v>926</v>
      </c>
      <c r="M6" s="674" t="s">
        <v>927</v>
      </c>
      <c r="N6" s="674" t="s">
        <v>928</v>
      </c>
      <c r="O6" s="674" t="s">
        <v>843</v>
      </c>
      <c r="P6" s="674" t="s">
        <v>929</v>
      </c>
      <c r="Q6" s="674" t="s">
        <v>77</v>
      </c>
      <c r="R6" s="675"/>
      <c r="S6" s="674" t="s">
        <v>919</v>
      </c>
      <c r="T6" s="674" t="s">
        <v>920</v>
      </c>
      <c r="U6" s="674" t="s">
        <v>921</v>
      </c>
      <c r="V6" s="674" t="s">
        <v>922</v>
      </c>
      <c r="W6" s="676" t="s">
        <v>923</v>
      </c>
      <c r="X6" s="676" t="s">
        <v>924</v>
      </c>
      <c r="Y6" s="676" t="s">
        <v>925</v>
      </c>
      <c r="Z6" s="676" t="s">
        <v>926</v>
      </c>
      <c r="AA6" s="676" t="s">
        <v>927</v>
      </c>
      <c r="AB6" s="676" t="s">
        <v>928</v>
      </c>
      <c r="AC6" s="676" t="s">
        <v>843</v>
      </c>
      <c r="AD6" s="676" t="s">
        <v>929</v>
      </c>
      <c r="AE6" s="676" t="s">
        <v>77</v>
      </c>
      <c r="AG6" s="676" t="s">
        <v>919</v>
      </c>
      <c r="AH6" s="676" t="s">
        <v>920</v>
      </c>
      <c r="AI6" s="676" t="s">
        <v>921</v>
      </c>
      <c r="AJ6" s="676" t="s">
        <v>922</v>
      </c>
      <c r="AK6" s="676" t="s">
        <v>923</v>
      </c>
      <c r="AL6" s="676" t="s">
        <v>924</v>
      </c>
      <c r="AM6" s="676" t="s">
        <v>925</v>
      </c>
      <c r="AN6" s="676" t="s">
        <v>926</v>
      </c>
      <c r="AO6" s="676" t="s">
        <v>927</v>
      </c>
      <c r="AP6" s="676" t="s">
        <v>928</v>
      </c>
      <c r="AQ6" s="676" t="s">
        <v>843</v>
      </c>
      <c r="AR6" s="676" t="s">
        <v>929</v>
      </c>
      <c r="AS6" s="676" t="s">
        <v>77</v>
      </c>
      <c r="AU6" s="676"/>
      <c r="AV6" s="676"/>
      <c r="AW6" s="677" t="s">
        <v>303</v>
      </c>
      <c r="AX6" s="676"/>
      <c r="AY6" s="677" t="s">
        <v>303</v>
      </c>
      <c r="AZ6" s="678"/>
      <c r="BA6" s="678"/>
    </row>
    <row r="7" spans="1:55" x14ac:dyDescent="0.25">
      <c r="A7" s="664" t="s">
        <v>930</v>
      </c>
      <c r="B7" s="662" t="s">
        <v>931</v>
      </c>
      <c r="C7" s="662" t="s">
        <v>932</v>
      </c>
      <c r="D7" s="663"/>
      <c r="E7" s="679">
        <v>2</v>
      </c>
      <c r="F7" s="679"/>
      <c r="G7" s="679">
        <v>2</v>
      </c>
      <c r="H7" s="679">
        <v>1</v>
      </c>
      <c r="I7" s="679">
        <v>1</v>
      </c>
      <c r="J7" s="679">
        <v>1</v>
      </c>
      <c r="K7" s="679">
        <v>3</v>
      </c>
      <c r="L7" s="679">
        <v>1</v>
      </c>
      <c r="M7" s="679">
        <v>1</v>
      </c>
      <c r="N7" s="679"/>
      <c r="O7" s="679">
        <v>5</v>
      </c>
      <c r="P7" s="680"/>
      <c r="Q7" s="681">
        <f>SUM(E7:P7)</f>
        <v>17</v>
      </c>
      <c r="R7" s="682"/>
      <c r="T7" s="662">
        <v>1</v>
      </c>
      <c r="W7" s="683">
        <v>1</v>
      </c>
      <c r="X7" s="683">
        <v>1</v>
      </c>
      <c r="Y7" s="683">
        <v>3</v>
      </c>
      <c r="Z7" s="683">
        <v>1</v>
      </c>
      <c r="AA7" s="683">
        <v>1</v>
      </c>
      <c r="AB7" s="683">
        <v>1</v>
      </c>
      <c r="AC7" s="683">
        <v>4</v>
      </c>
      <c r="AD7" s="683">
        <v>1</v>
      </c>
      <c r="AE7" s="684">
        <f>SUM(S7:AD7)</f>
        <v>14</v>
      </c>
      <c r="AG7" s="663">
        <v>0</v>
      </c>
      <c r="AH7" s="663">
        <v>1</v>
      </c>
      <c r="AI7" s="663">
        <v>0</v>
      </c>
      <c r="AJ7" s="663">
        <v>0</v>
      </c>
      <c r="AK7" s="683">
        <v>1</v>
      </c>
      <c r="AL7" s="683">
        <v>1</v>
      </c>
      <c r="AM7" s="683">
        <v>3</v>
      </c>
      <c r="AN7" s="683">
        <v>1</v>
      </c>
      <c r="AO7" s="683">
        <v>1</v>
      </c>
      <c r="AP7" s="683">
        <v>1</v>
      </c>
      <c r="AQ7" s="683">
        <v>4</v>
      </c>
      <c r="AR7" s="683">
        <v>1</v>
      </c>
      <c r="AS7" s="685">
        <f>SUM(AG7:AR7)</f>
        <v>14</v>
      </c>
      <c r="AU7" s="686">
        <f>Q7</f>
        <v>17</v>
      </c>
      <c r="AV7" s="665">
        <f>AE7</f>
        <v>14</v>
      </c>
      <c r="AW7" s="687">
        <f>(AV7/AU7)-1</f>
        <v>-0.17647058823529416</v>
      </c>
      <c r="AX7" s="663">
        <f>AS7</f>
        <v>14</v>
      </c>
      <c r="AY7" s="687">
        <f>(AX7/AV7)-1</f>
        <v>0</v>
      </c>
      <c r="AZ7" s="687"/>
      <c r="BA7" s="687"/>
      <c r="BC7" s="688">
        <f>(I7+J7+K7+L7+M7+N7+O7+P7+S7+T7+U7+V7)/365</f>
        <v>3.5616438356164383E-2</v>
      </c>
    </row>
    <row r="8" spans="1:55" x14ac:dyDescent="0.25">
      <c r="B8" s="662" t="s">
        <v>933</v>
      </c>
      <c r="C8" s="662" t="s">
        <v>932</v>
      </c>
      <c r="D8" s="663"/>
      <c r="E8" s="689"/>
      <c r="F8" s="689"/>
      <c r="G8" s="689"/>
      <c r="H8" s="689"/>
      <c r="I8" s="689"/>
      <c r="J8" s="689"/>
      <c r="K8" s="689"/>
      <c r="L8" s="689"/>
      <c r="M8" s="689">
        <v>1</v>
      </c>
      <c r="N8" s="689"/>
      <c r="O8" s="689">
        <v>1</v>
      </c>
      <c r="P8" s="690"/>
      <c r="Q8" s="681">
        <f t="shared" ref="Q8:Q71" si="0">SUM(E8:P8)</f>
        <v>2</v>
      </c>
      <c r="R8" s="681"/>
      <c r="W8" s="683">
        <v>0</v>
      </c>
      <c r="X8" s="683">
        <v>0</v>
      </c>
      <c r="Y8" s="683">
        <v>0</v>
      </c>
      <c r="Z8" s="683">
        <v>0</v>
      </c>
      <c r="AA8" s="683">
        <v>0</v>
      </c>
      <c r="AB8" s="683">
        <v>0</v>
      </c>
      <c r="AC8" s="683">
        <v>0</v>
      </c>
      <c r="AD8" s="683">
        <v>0</v>
      </c>
      <c r="AE8" s="684">
        <f t="shared" ref="AE8:AE10" si="1">SUM(S8:AD8)</f>
        <v>0</v>
      </c>
      <c r="AG8" s="683">
        <v>0</v>
      </c>
      <c r="AH8" s="683">
        <v>0</v>
      </c>
      <c r="AI8" s="683">
        <v>0</v>
      </c>
      <c r="AJ8" s="683">
        <v>0</v>
      </c>
      <c r="AK8" s="683">
        <v>0</v>
      </c>
      <c r="AL8" s="683">
        <v>0</v>
      </c>
      <c r="AM8" s="683">
        <v>0</v>
      </c>
      <c r="AN8" s="683">
        <v>0</v>
      </c>
      <c r="AO8" s="683">
        <v>0</v>
      </c>
      <c r="AP8" s="683">
        <v>0</v>
      </c>
      <c r="AQ8" s="683">
        <v>0</v>
      </c>
      <c r="AR8" s="683">
        <v>0</v>
      </c>
      <c r="AS8" s="685">
        <f t="shared" ref="AS8:AS71" si="2">SUM(AG8:AR8)</f>
        <v>0</v>
      </c>
      <c r="AU8" s="686">
        <f t="shared" ref="AU8:AU71" si="3">Q8</f>
        <v>2</v>
      </c>
      <c r="AV8" s="665">
        <v>0</v>
      </c>
      <c r="AW8" s="687">
        <f t="shared" ref="AW8:AW71" si="4">(AV8/AU8)-1</f>
        <v>-1</v>
      </c>
      <c r="AX8" s="663">
        <f t="shared" ref="AX8:AX71" si="5">AS8</f>
        <v>0</v>
      </c>
      <c r="AY8" s="687">
        <v>0</v>
      </c>
      <c r="AZ8" s="687"/>
      <c r="BA8" s="687"/>
      <c r="BC8" s="688">
        <f t="shared" ref="BC8:BC71" si="6">(I8+J8+K8+L8+M8+N8+O8+P8+S8+T8+U8+V8)/365</f>
        <v>5.4794520547945206E-3</v>
      </c>
    </row>
    <row r="9" spans="1:55" x14ac:dyDescent="0.25">
      <c r="B9" s="662" t="s">
        <v>934</v>
      </c>
      <c r="C9" s="662" t="s">
        <v>932</v>
      </c>
      <c r="D9" s="663"/>
      <c r="E9" s="662">
        <v>1</v>
      </c>
      <c r="F9" s="662">
        <v>1</v>
      </c>
      <c r="M9" s="662">
        <v>1</v>
      </c>
      <c r="Q9" s="681">
        <f t="shared" si="0"/>
        <v>3</v>
      </c>
      <c r="R9" s="691"/>
      <c r="W9" s="683">
        <v>0</v>
      </c>
      <c r="X9" s="683">
        <v>0</v>
      </c>
      <c r="Y9" s="683">
        <v>0</v>
      </c>
      <c r="Z9" s="683">
        <v>0</v>
      </c>
      <c r="AA9" s="683">
        <v>0</v>
      </c>
      <c r="AB9" s="683">
        <v>0</v>
      </c>
      <c r="AC9" s="683">
        <v>0</v>
      </c>
      <c r="AD9" s="683">
        <v>0</v>
      </c>
      <c r="AE9" s="684">
        <f t="shared" si="1"/>
        <v>0</v>
      </c>
      <c r="AG9" s="683">
        <v>0</v>
      </c>
      <c r="AH9" s="683">
        <v>0</v>
      </c>
      <c r="AI9" s="683">
        <v>0</v>
      </c>
      <c r="AJ9" s="683">
        <v>0</v>
      </c>
      <c r="AK9" s="683">
        <v>0</v>
      </c>
      <c r="AL9" s="683">
        <v>0</v>
      </c>
      <c r="AM9" s="683">
        <v>0</v>
      </c>
      <c r="AN9" s="683">
        <v>0</v>
      </c>
      <c r="AO9" s="683">
        <v>0</v>
      </c>
      <c r="AP9" s="683">
        <v>0</v>
      </c>
      <c r="AQ9" s="683">
        <v>0</v>
      </c>
      <c r="AR9" s="683">
        <v>0</v>
      </c>
      <c r="AS9" s="685">
        <f t="shared" si="2"/>
        <v>0</v>
      </c>
      <c r="AU9" s="686">
        <f t="shared" si="3"/>
        <v>3</v>
      </c>
      <c r="AV9" s="665">
        <v>0</v>
      </c>
      <c r="AW9" s="687">
        <f t="shared" si="4"/>
        <v>-1</v>
      </c>
      <c r="AX9" s="663">
        <f t="shared" si="5"/>
        <v>0</v>
      </c>
      <c r="AY9" s="687">
        <v>0</v>
      </c>
      <c r="AZ9" s="687"/>
      <c r="BA9" s="687"/>
      <c r="BC9" s="688">
        <f t="shared" si="6"/>
        <v>2.7397260273972603E-3</v>
      </c>
    </row>
    <row r="10" spans="1:55" x14ac:dyDescent="0.25">
      <c r="B10" s="662" t="s">
        <v>935</v>
      </c>
      <c r="C10" s="662" t="s">
        <v>932</v>
      </c>
      <c r="D10" s="663"/>
      <c r="E10" s="662">
        <v>1</v>
      </c>
      <c r="F10" s="662">
        <v>1</v>
      </c>
      <c r="H10" s="662">
        <v>1</v>
      </c>
      <c r="K10" s="662">
        <v>1</v>
      </c>
      <c r="L10" s="662">
        <v>1</v>
      </c>
      <c r="O10" s="662">
        <v>1</v>
      </c>
      <c r="P10" s="662">
        <v>1</v>
      </c>
      <c r="Q10" s="681">
        <f t="shared" si="0"/>
        <v>7</v>
      </c>
      <c r="R10" s="691"/>
      <c r="V10" s="662">
        <v>1</v>
      </c>
      <c r="W10" s="683">
        <v>0</v>
      </c>
      <c r="X10" s="683">
        <v>0</v>
      </c>
      <c r="Y10" s="683">
        <v>1</v>
      </c>
      <c r="Z10" s="683">
        <v>1</v>
      </c>
      <c r="AA10" s="683">
        <v>0</v>
      </c>
      <c r="AB10" s="683">
        <v>0</v>
      </c>
      <c r="AC10" s="683">
        <v>1</v>
      </c>
      <c r="AD10" s="683">
        <v>0</v>
      </c>
      <c r="AE10" s="684">
        <f t="shared" si="1"/>
        <v>4</v>
      </c>
      <c r="AG10" s="683">
        <v>0</v>
      </c>
      <c r="AH10" s="683">
        <v>0</v>
      </c>
      <c r="AI10" s="683">
        <v>0</v>
      </c>
      <c r="AJ10" s="692">
        <v>1</v>
      </c>
      <c r="AK10" s="683">
        <v>0</v>
      </c>
      <c r="AL10" s="683">
        <v>0</v>
      </c>
      <c r="AM10" s="692">
        <v>1</v>
      </c>
      <c r="AN10" s="692">
        <v>1</v>
      </c>
      <c r="AO10" s="683">
        <v>0</v>
      </c>
      <c r="AP10" s="683">
        <v>0</v>
      </c>
      <c r="AQ10" s="692">
        <v>1</v>
      </c>
      <c r="AR10" s="683">
        <v>0</v>
      </c>
      <c r="AS10" s="685">
        <f t="shared" si="2"/>
        <v>4</v>
      </c>
      <c r="AU10" s="686">
        <f t="shared" si="3"/>
        <v>7</v>
      </c>
      <c r="AV10" s="665">
        <f t="shared" ref="AV10:AV73" si="7">AE10</f>
        <v>4</v>
      </c>
      <c r="AW10" s="687">
        <f t="shared" si="4"/>
        <v>-0.4285714285714286</v>
      </c>
      <c r="AX10" s="663">
        <f t="shared" si="5"/>
        <v>4</v>
      </c>
      <c r="AY10" s="687">
        <f t="shared" ref="AY10:AY73" si="8">(AX10/AV10)-1</f>
        <v>0</v>
      </c>
      <c r="AZ10" s="687"/>
      <c r="BA10" s="687"/>
      <c r="BC10" s="688">
        <f t="shared" si="6"/>
        <v>1.3698630136986301E-2</v>
      </c>
    </row>
    <row r="11" spans="1:55" x14ac:dyDescent="0.25">
      <c r="A11" s="693" t="s">
        <v>936</v>
      </c>
      <c r="B11" s="693"/>
      <c r="C11" s="693"/>
      <c r="D11" s="694"/>
      <c r="E11" s="693">
        <v>4</v>
      </c>
      <c r="F11" s="693">
        <v>2</v>
      </c>
      <c r="G11" s="693">
        <v>2</v>
      </c>
      <c r="H11" s="693">
        <v>2</v>
      </c>
      <c r="I11" s="693">
        <v>1</v>
      </c>
      <c r="J11" s="693">
        <v>1</v>
      </c>
      <c r="K11" s="693">
        <v>4</v>
      </c>
      <c r="L11" s="693">
        <v>2</v>
      </c>
      <c r="M11" s="693">
        <v>3</v>
      </c>
      <c r="N11" s="693"/>
      <c r="O11" s="693">
        <v>7</v>
      </c>
      <c r="P11" s="693">
        <v>1</v>
      </c>
      <c r="Q11" s="695">
        <f t="shared" si="0"/>
        <v>29</v>
      </c>
      <c r="R11" s="695"/>
      <c r="S11" s="693"/>
      <c r="T11" s="693">
        <v>1</v>
      </c>
      <c r="U11" s="693"/>
      <c r="V11" s="693">
        <v>1</v>
      </c>
      <c r="W11" s="696">
        <f>SUM(W7:W10)</f>
        <v>1</v>
      </c>
      <c r="X11" s="696">
        <f t="shared" ref="X11:AD11" si="9">SUM(X7:X10)</f>
        <v>1</v>
      </c>
      <c r="Y11" s="696">
        <f t="shared" si="9"/>
        <v>4</v>
      </c>
      <c r="Z11" s="696">
        <f t="shared" si="9"/>
        <v>2</v>
      </c>
      <c r="AA11" s="696">
        <f t="shared" si="9"/>
        <v>1</v>
      </c>
      <c r="AB11" s="696">
        <f t="shared" si="9"/>
        <v>1</v>
      </c>
      <c r="AC11" s="696">
        <f t="shared" si="9"/>
        <v>5</v>
      </c>
      <c r="AD11" s="696">
        <f t="shared" si="9"/>
        <v>1</v>
      </c>
      <c r="AE11" s="697">
        <f t="shared" ref="AE11:AE74" si="10">SUM(S11:AD11)</f>
        <v>18</v>
      </c>
      <c r="AF11" s="694"/>
      <c r="AG11" s="694">
        <f t="shared" ref="AG11:AR11" si="11">SUM(AG7:AG10)</f>
        <v>0</v>
      </c>
      <c r="AH11" s="694">
        <f t="shared" si="11"/>
        <v>1</v>
      </c>
      <c r="AI11" s="694">
        <f t="shared" si="11"/>
        <v>0</v>
      </c>
      <c r="AJ11" s="694">
        <f t="shared" si="11"/>
        <v>1</v>
      </c>
      <c r="AK11" s="694">
        <f t="shared" si="11"/>
        <v>1</v>
      </c>
      <c r="AL11" s="694">
        <f t="shared" si="11"/>
        <v>1</v>
      </c>
      <c r="AM11" s="694">
        <f t="shared" si="11"/>
        <v>4</v>
      </c>
      <c r="AN11" s="694">
        <f t="shared" si="11"/>
        <v>2</v>
      </c>
      <c r="AO11" s="694">
        <f t="shared" si="11"/>
        <v>1</v>
      </c>
      <c r="AP11" s="694">
        <f t="shared" si="11"/>
        <v>1</v>
      </c>
      <c r="AQ11" s="694">
        <f t="shared" si="11"/>
        <v>5</v>
      </c>
      <c r="AR11" s="694">
        <f t="shared" si="11"/>
        <v>1</v>
      </c>
      <c r="AS11" s="694">
        <f>SUM(AS7:AS10)</f>
        <v>18</v>
      </c>
      <c r="AT11" s="694"/>
      <c r="AU11" s="697">
        <f t="shared" si="3"/>
        <v>29</v>
      </c>
      <c r="AV11" s="697">
        <f t="shared" si="7"/>
        <v>18</v>
      </c>
      <c r="AW11" s="698">
        <f t="shared" si="4"/>
        <v>-0.37931034482758619</v>
      </c>
      <c r="AX11" s="694">
        <f t="shared" si="5"/>
        <v>18</v>
      </c>
      <c r="AY11" s="698">
        <f t="shared" si="8"/>
        <v>0</v>
      </c>
      <c r="AZ11" s="698"/>
      <c r="BA11" s="698"/>
      <c r="BC11" s="688">
        <f t="shared" si="6"/>
        <v>5.7534246575342465E-2</v>
      </c>
    </row>
    <row r="12" spans="1:55" x14ac:dyDescent="0.25">
      <c r="A12" s="664" t="s">
        <v>937</v>
      </c>
      <c r="B12" s="662" t="s">
        <v>938</v>
      </c>
      <c r="C12" s="662" t="s">
        <v>939</v>
      </c>
      <c r="D12" s="663"/>
      <c r="E12" s="662">
        <v>1</v>
      </c>
      <c r="F12" s="662">
        <v>2</v>
      </c>
      <c r="G12" s="662">
        <v>2</v>
      </c>
      <c r="H12" s="662">
        <v>2</v>
      </c>
      <c r="I12" s="662">
        <v>3</v>
      </c>
      <c r="J12" s="662">
        <v>2</v>
      </c>
      <c r="K12" s="662">
        <v>1</v>
      </c>
      <c r="M12" s="662">
        <v>3</v>
      </c>
      <c r="N12" s="662">
        <v>4</v>
      </c>
      <c r="O12" s="662">
        <v>2</v>
      </c>
      <c r="P12" s="662">
        <v>1</v>
      </c>
      <c r="Q12" s="681">
        <f t="shared" si="0"/>
        <v>23</v>
      </c>
      <c r="R12" s="691"/>
      <c r="T12" s="662">
        <v>1</v>
      </c>
      <c r="V12" s="662">
        <v>4</v>
      </c>
      <c r="W12" s="683">
        <f t="shared" ref="W12:X19" si="12">$BC12*W$1</f>
        <v>1.726027397260274</v>
      </c>
      <c r="X12" s="683">
        <f t="shared" si="12"/>
        <v>1.7835616438356163</v>
      </c>
      <c r="Y12" s="683">
        <v>1</v>
      </c>
      <c r="Z12" s="683">
        <v>0</v>
      </c>
      <c r="AA12" s="683">
        <v>3</v>
      </c>
      <c r="AB12" s="683">
        <v>3</v>
      </c>
      <c r="AC12" s="683">
        <f t="shared" ref="Y12:AD19" si="13">$BC12*AC$1</f>
        <v>1.7835616438356163</v>
      </c>
      <c r="AD12" s="683">
        <v>1</v>
      </c>
      <c r="AE12" s="684">
        <f t="shared" si="10"/>
        <v>18.293150684931504</v>
      </c>
      <c r="AG12" s="692">
        <v>0</v>
      </c>
      <c r="AH12" s="692">
        <v>1</v>
      </c>
      <c r="AI12" s="692">
        <v>0</v>
      </c>
      <c r="AJ12" s="692">
        <v>2</v>
      </c>
      <c r="AK12" s="692">
        <v>2</v>
      </c>
      <c r="AL12" s="692">
        <v>2</v>
      </c>
      <c r="AM12" s="692">
        <v>1</v>
      </c>
      <c r="AN12" s="692">
        <v>0</v>
      </c>
      <c r="AO12" s="692">
        <v>3</v>
      </c>
      <c r="AP12" s="692">
        <v>3</v>
      </c>
      <c r="AQ12" s="692">
        <v>2</v>
      </c>
      <c r="AR12" s="692">
        <v>2</v>
      </c>
      <c r="AS12" s="685">
        <f t="shared" si="2"/>
        <v>18</v>
      </c>
      <c r="AU12" s="686">
        <f t="shared" si="3"/>
        <v>23</v>
      </c>
      <c r="AV12" s="665">
        <f t="shared" si="7"/>
        <v>18.293150684931504</v>
      </c>
      <c r="AW12" s="687">
        <f t="shared" si="4"/>
        <v>-0.20464562239428241</v>
      </c>
      <c r="AX12" s="663">
        <f t="shared" si="5"/>
        <v>18</v>
      </c>
      <c r="AY12" s="687">
        <f t="shared" si="8"/>
        <v>-1.6025161000449151E-2</v>
      </c>
      <c r="AZ12" s="687"/>
      <c r="BA12" s="687"/>
      <c r="BC12" s="688">
        <f t="shared" si="6"/>
        <v>5.7534246575342465E-2</v>
      </c>
    </row>
    <row r="13" spans="1:55" x14ac:dyDescent="0.25">
      <c r="A13" s="693" t="s">
        <v>940</v>
      </c>
      <c r="B13" s="693"/>
      <c r="C13" s="693"/>
      <c r="D13" s="694"/>
      <c r="E13" s="693">
        <v>1</v>
      </c>
      <c r="F13" s="693">
        <v>2</v>
      </c>
      <c r="G13" s="693">
        <v>2</v>
      </c>
      <c r="H13" s="693">
        <v>2</v>
      </c>
      <c r="I13" s="693">
        <v>3</v>
      </c>
      <c r="J13" s="693">
        <v>2</v>
      </c>
      <c r="K13" s="693">
        <v>1</v>
      </c>
      <c r="L13" s="693"/>
      <c r="M13" s="693">
        <v>3</v>
      </c>
      <c r="N13" s="693">
        <v>4</v>
      </c>
      <c r="O13" s="693">
        <v>2</v>
      </c>
      <c r="P13" s="693">
        <v>1</v>
      </c>
      <c r="Q13" s="695">
        <f t="shared" si="0"/>
        <v>23</v>
      </c>
      <c r="R13" s="695"/>
      <c r="S13" s="693"/>
      <c r="T13" s="693">
        <v>1</v>
      </c>
      <c r="U13" s="693"/>
      <c r="V13" s="693">
        <v>4</v>
      </c>
      <c r="W13" s="696">
        <f>W12</f>
        <v>1.726027397260274</v>
      </c>
      <c r="X13" s="696">
        <f t="shared" ref="X13:AD13" si="14">X12</f>
        <v>1.7835616438356163</v>
      </c>
      <c r="Y13" s="696">
        <f t="shared" si="14"/>
        <v>1</v>
      </c>
      <c r="Z13" s="696">
        <f t="shared" si="14"/>
        <v>0</v>
      </c>
      <c r="AA13" s="696">
        <f t="shared" si="14"/>
        <v>3</v>
      </c>
      <c r="AB13" s="696">
        <f t="shared" si="14"/>
        <v>3</v>
      </c>
      <c r="AC13" s="696">
        <f t="shared" si="14"/>
        <v>1.7835616438356163</v>
      </c>
      <c r="AD13" s="696">
        <f t="shared" si="14"/>
        <v>1</v>
      </c>
      <c r="AE13" s="697">
        <f t="shared" si="10"/>
        <v>18.293150684931504</v>
      </c>
      <c r="AF13" s="694"/>
      <c r="AG13" s="694">
        <f t="shared" ref="AG13:AR13" si="15">AG12</f>
        <v>0</v>
      </c>
      <c r="AH13" s="694">
        <f t="shared" si="15"/>
        <v>1</v>
      </c>
      <c r="AI13" s="694">
        <f t="shared" si="15"/>
        <v>0</v>
      </c>
      <c r="AJ13" s="694">
        <f t="shared" si="15"/>
        <v>2</v>
      </c>
      <c r="AK13" s="694">
        <f t="shared" si="15"/>
        <v>2</v>
      </c>
      <c r="AL13" s="694">
        <f t="shared" si="15"/>
        <v>2</v>
      </c>
      <c r="AM13" s="694">
        <f t="shared" si="15"/>
        <v>1</v>
      </c>
      <c r="AN13" s="694">
        <f t="shared" si="15"/>
        <v>0</v>
      </c>
      <c r="AO13" s="694">
        <f t="shared" si="15"/>
        <v>3</v>
      </c>
      <c r="AP13" s="694">
        <f t="shared" si="15"/>
        <v>3</v>
      </c>
      <c r="AQ13" s="694">
        <f t="shared" si="15"/>
        <v>2</v>
      </c>
      <c r="AR13" s="694">
        <f t="shared" si="15"/>
        <v>2</v>
      </c>
      <c r="AS13" s="694">
        <f>AS12</f>
        <v>18</v>
      </c>
      <c r="AT13" s="694"/>
      <c r="AU13" s="697">
        <f t="shared" si="3"/>
        <v>23</v>
      </c>
      <c r="AV13" s="697">
        <f t="shared" si="7"/>
        <v>18.293150684931504</v>
      </c>
      <c r="AW13" s="698">
        <f t="shared" si="4"/>
        <v>-0.20464562239428241</v>
      </c>
      <c r="AX13" s="694">
        <f t="shared" si="5"/>
        <v>18</v>
      </c>
      <c r="AY13" s="698">
        <f t="shared" si="8"/>
        <v>-1.6025161000449151E-2</v>
      </c>
      <c r="AZ13" s="698"/>
      <c r="BA13" s="698"/>
      <c r="BC13" s="688">
        <f t="shared" si="6"/>
        <v>5.7534246575342465E-2</v>
      </c>
    </row>
    <row r="14" spans="1:55" x14ac:dyDescent="0.25">
      <c r="A14" s="664" t="s">
        <v>941</v>
      </c>
      <c r="B14" s="662" t="s">
        <v>942</v>
      </c>
      <c r="C14" s="662" t="s">
        <v>939</v>
      </c>
      <c r="D14" s="663"/>
      <c r="L14" s="662">
        <v>4</v>
      </c>
      <c r="M14" s="662">
        <v>1</v>
      </c>
      <c r="N14" s="662">
        <v>1</v>
      </c>
      <c r="O14" s="662">
        <v>3</v>
      </c>
      <c r="P14" s="662">
        <v>4</v>
      </c>
      <c r="Q14" s="681">
        <f t="shared" si="0"/>
        <v>13</v>
      </c>
      <c r="R14" s="691"/>
      <c r="S14" s="662">
        <v>2</v>
      </c>
      <c r="T14" s="662">
        <v>3</v>
      </c>
      <c r="U14" s="662">
        <v>1</v>
      </c>
      <c r="V14" s="662">
        <v>1</v>
      </c>
      <c r="W14" s="683">
        <v>2</v>
      </c>
      <c r="X14" s="683">
        <v>2</v>
      </c>
      <c r="Y14" s="683">
        <v>2</v>
      </c>
      <c r="Z14" s="683">
        <v>2</v>
      </c>
      <c r="AA14" s="683">
        <v>2</v>
      </c>
      <c r="AB14" s="683">
        <v>2</v>
      </c>
      <c r="AC14" s="683">
        <v>2</v>
      </c>
      <c r="AD14" s="683">
        <v>2</v>
      </c>
      <c r="AE14" s="684">
        <f t="shared" si="10"/>
        <v>23</v>
      </c>
      <c r="AG14" s="692">
        <v>2</v>
      </c>
      <c r="AH14" s="692">
        <v>2</v>
      </c>
      <c r="AI14" s="692">
        <v>2</v>
      </c>
      <c r="AJ14" s="692">
        <v>1</v>
      </c>
      <c r="AK14" s="692">
        <v>2</v>
      </c>
      <c r="AL14" s="692">
        <v>2</v>
      </c>
      <c r="AM14" s="692">
        <v>2</v>
      </c>
      <c r="AN14" s="692">
        <v>1</v>
      </c>
      <c r="AO14" s="692">
        <v>2</v>
      </c>
      <c r="AP14" s="692">
        <v>2</v>
      </c>
      <c r="AQ14" s="692">
        <v>1</v>
      </c>
      <c r="AR14" s="692">
        <v>2</v>
      </c>
      <c r="AS14" s="685">
        <f t="shared" si="2"/>
        <v>21</v>
      </c>
      <c r="AU14" s="686">
        <f t="shared" si="3"/>
        <v>13</v>
      </c>
      <c r="AV14" s="665">
        <f t="shared" si="7"/>
        <v>23</v>
      </c>
      <c r="AW14" s="687">
        <f t="shared" si="4"/>
        <v>0.76923076923076916</v>
      </c>
      <c r="AX14" s="663">
        <f t="shared" si="5"/>
        <v>21</v>
      </c>
      <c r="AY14" s="687">
        <f t="shared" si="8"/>
        <v>-8.6956521739130488E-2</v>
      </c>
      <c r="AZ14" s="687"/>
      <c r="BA14" s="687"/>
      <c r="BC14" s="688">
        <f t="shared" si="6"/>
        <v>5.4794520547945202E-2</v>
      </c>
    </row>
    <row r="15" spans="1:55" x14ac:dyDescent="0.25">
      <c r="B15" s="662" t="s">
        <v>943</v>
      </c>
      <c r="C15" s="662" t="s">
        <v>939</v>
      </c>
      <c r="D15" s="663"/>
      <c r="K15" s="662">
        <v>2</v>
      </c>
      <c r="L15" s="662">
        <v>1</v>
      </c>
      <c r="M15" s="662">
        <v>5</v>
      </c>
      <c r="N15" s="662">
        <v>4</v>
      </c>
      <c r="O15" s="662">
        <v>2</v>
      </c>
      <c r="P15" s="662">
        <v>1</v>
      </c>
      <c r="Q15" s="681">
        <f t="shared" si="0"/>
        <v>15</v>
      </c>
      <c r="R15" s="691"/>
      <c r="S15" s="662">
        <v>6</v>
      </c>
      <c r="T15" s="662">
        <v>3</v>
      </c>
      <c r="U15" s="662">
        <v>8</v>
      </c>
      <c r="V15" s="662">
        <v>11</v>
      </c>
      <c r="W15" s="683">
        <v>4</v>
      </c>
      <c r="X15" s="683">
        <v>5</v>
      </c>
      <c r="Y15" s="683">
        <v>5</v>
      </c>
      <c r="Z15" s="683">
        <v>5</v>
      </c>
      <c r="AA15" s="683">
        <v>5</v>
      </c>
      <c r="AB15" s="683">
        <v>5</v>
      </c>
      <c r="AC15" s="683">
        <v>5</v>
      </c>
      <c r="AD15" s="683">
        <v>5</v>
      </c>
      <c r="AE15" s="684">
        <f t="shared" si="10"/>
        <v>67</v>
      </c>
      <c r="AG15" s="692">
        <v>5</v>
      </c>
      <c r="AH15" s="692">
        <v>5</v>
      </c>
      <c r="AI15" s="692">
        <v>5</v>
      </c>
      <c r="AJ15" s="692">
        <v>5</v>
      </c>
      <c r="AK15" s="692">
        <v>5</v>
      </c>
      <c r="AL15" s="692">
        <v>5</v>
      </c>
      <c r="AM15" s="692">
        <v>5</v>
      </c>
      <c r="AN15" s="692">
        <v>5</v>
      </c>
      <c r="AO15" s="692">
        <v>5</v>
      </c>
      <c r="AP15" s="692">
        <v>5</v>
      </c>
      <c r="AQ15" s="692">
        <v>5</v>
      </c>
      <c r="AR15" s="692">
        <v>5</v>
      </c>
      <c r="AS15" s="685">
        <f t="shared" si="2"/>
        <v>60</v>
      </c>
      <c r="AU15" s="686">
        <f t="shared" si="3"/>
        <v>15</v>
      </c>
      <c r="AV15" s="665">
        <f t="shared" si="7"/>
        <v>67</v>
      </c>
      <c r="AW15" s="687">
        <f t="shared" si="4"/>
        <v>3.4666666666666668</v>
      </c>
      <c r="AX15" s="663">
        <f t="shared" si="5"/>
        <v>60</v>
      </c>
      <c r="AY15" s="687">
        <f t="shared" si="8"/>
        <v>-0.10447761194029848</v>
      </c>
      <c r="AZ15" s="687"/>
      <c r="BA15" s="687"/>
      <c r="BC15" s="688">
        <f t="shared" si="6"/>
        <v>0.11780821917808219</v>
      </c>
    </row>
    <row r="16" spans="1:55" x14ac:dyDescent="0.25">
      <c r="B16" s="662" t="s">
        <v>944</v>
      </c>
      <c r="C16" s="662" t="s">
        <v>939</v>
      </c>
      <c r="D16" s="663" t="s">
        <v>945</v>
      </c>
      <c r="K16" s="662">
        <v>1</v>
      </c>
      <c r="M16" s="662">
        <v>1</v>
      </c>
      <c r="Q16" s="681">
        <f t="shared" si="0"/>
        <v>2</v>
      </c>
      <c r="R16" s="699"/>
      <c r="U16" s="662">
        <v>1</v>
      </c>
      <c r="W16" s="683">
        <v>0</v>
      </c>
      <c r="X16" s="683">
        <v>0</v>
      </c>
      <c r="Y16" s="683">
        <v>0</v>
      </c>
      <c r="Z16" s="683">
        <v>0</v>
      </c>
      <c r="AA16" s="683">
        <v>0</v>
      </c>
      <c r="AB16" s="683">
        <v>0</v>
      </c>
      <c r="AC16" s="683">
        <v>0</v>
      </c>
      <c r="AD16" s="683">
        <v>0</v>
      </c>
      <c r="AE16" s="684">
        <f>SUM(S16:AD16)</f>
        <v>1</v>
      </c>
      <c r="AF16" s="700"/>
      <c r="AG16" s="683">
        <v>0</v>
      </c>
      <c r="AH16" s="683">
        <v>0</v>
      </c>
      <c r="AI16" s="683">
        <v>0</v>
      </c>
      <c r="AJ16" s="683">
        <v>0</v>
      </c>
      <c r="AK16" s="683">
        <v>0</v>
      </c>
      <c r="AL16" s="683">
        <v>0</v>
      </c>
      <c r="AM16" s="683">
        <v>0</v>
      </c>
      <c r="AN16" s="683">
        <v>0</v>
      </c>
      <c r="AO16" s="683">
        <v>0</v>
      </c>
      <c r="AP16" s="683">
        <v>0</v>
      </c>
      <c r="AQ16" s="683">
        <v>0</v>
      </c>
      <c r="AR16" s="683">
        <v>0</v>
      </c>
      <c r="AS16" s="685">
        <f t="shared" si="2"/>
        <v>0</v>
      </c>
      <c r="AT16" s="700"/>
      <c r="AU16" s="686">
        <f t="shared" si="3"/>
        <v>2</v>
      </c>
      <c r="AV16" s="665">
        <f t="shared" si="7"/>
        <v>1</v>
      </c>
      <c r="AW16" s="687">
        <f t="shared" si="4"/>
        <v>-0.5</v>
      </c>
      <c r="AX16" s="663">
        <f t="shared" si="5"/>
        <v>0</v>
      </c>
      <c r="AY16" s="687">
        <v>0</v>
      </c>
      <c r="AZ16" s="687"/>
      <c r="BA16" s="687"/>
      <c r="BC16" s="688">
        <f t="shared" si="6"/>
        <v>8.21917808219178E-3</v>
      </c>
    </row>
    <row r="17" spans="1:55" x14ac:dyDescent="0.25">
      <c r="B17" s="662" t="s">
        <v>946</v>
      </c>
      <c r="C17" s="662" t="s">
        <v>939</v>
      </c>
      <c r="D17" s="663" t="s">
        <v>945</v>
      </c>
      <c r="E17" s="662">
        <v>3</v>
      </c>
      <c r="Q17" s="681">
        <f t="shared" si="0"/>
        <v>3</v>
      </c>
      <c r="R17" s="699"/>
      <c r="W17" s="683">
        <f t="shared" si="12"/>
        <v>0</v>
      </c>
      <c r="X17" s="683">
        <f t="shared" si="12"/>
        <v>0</v>
      </c>
      <c r="Y17" s="683">
        <f t="shared" si="13"/>
        <v>0</v>
      </c>
      <c r="Z17" s="683">
        <f t="shared" si="13"/>
        <v>0</v>
      </c>
      <c r="AA17" s="683">
        <f t="shared" si="13"/>
        <v>0</v>
      </c>
      <c r="AB17" s="683">
        <f t="shared" si="13"/>
        <v>0</v>
      </c>
      <c r="AC17" s="683">
        <f t="shared" si="13"/>
        <v>0</v>
      </c>
      <c r="AD17" s="683">
        <f t="shared" si="13"/>
        <v>0</v>
      </c>
      <c r="AE17" s="684">
        <f t="shared" si="10"/>
        <v>0</v>
      </c>
      <c r="AF17" s="700"/>
      <c r="AG17" s="683">
        <v>0</v>
      </c>
      <c r="AH17" s="683">
        <v>0</v>
      </c>
      <c r="AI17" s="683">
        <v>0</v>
      </c>
      <c r="AJ17" s="683">
        <v>0</v>
      </c>
      <c r="AK17" s="683">
        <v>0</v>
      </c>
      <c r="AL17" s="683">
        <v>0</v>
      </c>
      <c r="AM17" s="683">
        <v>0</v>
      </c>
      <c r="AN17" s="683">
        <v>0</v>
      </c>
      <c r="AO17" s="683">
        <v>0</v>
      </c>
      <c r="AP17" s="683">
        <v>0</v>
      </c>
      <c r="AQ17" s="683">
        <v>0</v>
      </c>
      <c r="AR17" s="683">
        <v>0</v>
      </c>
      <c r="AS17" s="685">
        <f t="shared" si="2"/>
        <v>0</v>
      </c>
      <c r="AT17" s="700"/>
      <c r="AU17" s="686">
        <f t="shared" si="3"/>
        <v>3</v>
      </c>
      <c r="AV17" s="665">
        <f t="shared" si="7"/>
        <v>0</v>
      </c>
      <c r="AW17" s="687">
        <f t="shared" si="4"/>
        <v>-1</v>
      </c>
      <c r="AX17" s="663">
        <f t="shared" si="5"/>
        <v>0</v>
      </c>
      <c r="AY17" s="687">
        <v>0</v>
      </c>
      <c r="AZ17" s="687"/>
      <c r="BA17" s="687"/>
      <c r="BC17" s="688">
        <f t="shared" si="6"/>
        <v>0</v>
      </c>
    </row>
    <row r="18" spans="1:55" x14ac:dyDescent="0.25">
      <c r="B18" s="662" t="s">
        <v>947</v>
      </c>
      <c r="C18" s="662" t="s">
        <v>939</v>
      </c>
      <c r="D18" s="663" t="s">
        <v>948</v>
      </c>
      <c r="I18" s="662">
        <v>3</v>
      </c>
      <c r="J18" s="662">
        <v>3</v>
      </c>
      <c r="K18" s="662">
        <v>2</v>
      </c>
      <c r="L18" s="662">
        <v>2</v>
      </c>
      <c r="M18" s="662">
        <v>2</v>
      </c>
      <c r="O18" s="662">
        <v>1</v>
      </c>
      <c r="Q18" s="681">
        <f t="shared" si="0"/>
        <v>13</v>
      </c>
      <c r="R18" s="699"/>
      <c r="W18" s="683">
        <v>0</v>
      </c>
      <c r="X18" s="683">
        <v>0</v>
      </c>
      <c r="Y18" s="683">
        <v>0</v>
      </c>
      <c r="Z18" s="683">
        <v>2</v>
      </c>
      <c r="AA18" s="683">
        <v>2</v>
      </c>
      <c r="AB18" s="683">
        <v>2</v>
      </c>
      <c r="AC18" s="683">
        <v>2</v>
      </c>
      <c r="AD18" s="683">
        <v>2</v>
      </c>
      <c r="AE18" s="684">
        <f t="shared" si="10"/>
        <v>10</v>
      </c>
      <c r="AF18" s="700"/>
      <c r="AG18" s="700">
        <v>2</v>
      </c>
      <c r="AH18" s="700">
        <v>2</v>
      </c>
      <c r="AI18" s="700">
        <v>2</v>
      </c>
      <c r="AJ18" s="700">
        <v>2</v>
      </c>
      <c r="AK18" s="700">
        <v>2</v>
      </c>
      <c r="AL18" s="700">
        <v>2</v>
      </c>
      <c r="AM18" s="700">
        <v>2</v>
      </c>
      <c r="AN18" s="700">
        <v>2</v>
      </c>
      <c r="AO18" s="700">
        <v>2</v>
      </c>
      <c r="AP18" s="700">
        <v>2</v>
      </c>
      <c r="AQ18" s="700">
        <v>2</v>
      </c>
      <c r="AR18" s="700">
        <v>2</v>
      </c>
      <c r="AS18" s="685">
        <f t="shared" si="2"/>
        <v>24</v>
      </c>
      <c r="AT18" s="700"/>
      <c r="AU18" s="686">
        <f t="shared" si="3"/>
        <v>13</v>
      </c>
      <c r="AV18" s="665">
        <f t="shared" si="7"/>
        <v>10</v>
      </c>
      <c r="AW18" s="687">
        <f t="shared" si="4"/>
        <v>-0.23076923076923073</v>
      </c>
      <c r="AX18" s="663">
        <f t="shared" si="5"/>
        <v>24</v>
      </c>
      <c r="AY18" s="687">
        <v>0</v>
      </c>
      <c r="AZ18" s="687"/>
      <c r="BA18" s="687"/>
      <c r="BC18" s="688">
        <f t="shared" si="6"/>
        <v>3.5616438356164383E-2</v>
      </c>
    </row>
    <row r="19" spans="1:55" x14ac:dyDescent="0.25">
      <c r="B19" s="662" t="s">
        <v>949</v>
      </c>
      <c r="C19" s="662" t="s">
        <v>939</v>
      </c>
      <c r="D19" s="663" t="s">
        <v>945</v>
      </c>
      <c r="E19" s="662">
        <v>1</v>
      </c>
      <c r="F19" s="662">
        <v>4</v>
      </c>
      <c r="G19" s="662">
        <v>6</v>
      </c>
      <c r="Q19" s="681">
        <f t="shared" si="0"/>
        <v>11</v>
      </c>
      <c r="R19" s="699"/>
      <c r="W19" s="683">
        <f t="shared" si="12"/>
        <v>0</v>
      </c>
      <c r="X19" s="683">
        <f t="shared" si="12"/>
        <v>0</v>
      </c>
      <c r="Y19" s="683">
        <f t="shared" si="13"/>
        <v>0</v>
      </c>
      <c r="Z19" s="683">
        <f t="shared" si="13"/>
        <v>0</v>
      </c>
      <c r="AA19" s="683">
        <f t="shared" si="13"/>
        <v>0</v>
      </c>
      <c r="AB19" s="683">
        <f t="shared" si="13"/>
        <v>0</v>
      </c>
      <c r="AC19" s="683">
        <f t="shared" si="13"/>
        <v>0</v>
      </c>
      <c r="AD19" s="683">
        <f t="shared" si="13"/>
        <v>0</v>
      </c>
      <c r="AE19" s="684">
        <f t="shared" si="10"/>
        <v>0</v>
      </c>
      <c r="AF19" s="700"/>
      <c r="AG19" s="683">
        <v>0</v>
      </c>
      <c r="AH19" s="683">
        <v>0</v>
      </c>
      <c r="AI19" s="683">
        <v>0</v>
      </c>
      <c r="AJ19" s="683">
        <v>0</v>
      </c>
      <c r="AK19" s="683">
        <v>0</v>
      </c>
      <c r="AL19" s="683">
        <v>0</v>
      </c>
      <c r="AM19" s="683">
        <v>0</v>
      </c>
      <c r="AN19" s="683">
        <v>0</v>
      </c>
      <c r="AO19" s="683">
        <v>0</v>
      </c>
      <c r="AP19" s="683">
        <v>0</v>
      </c>
      <c r="AQ19" s="683">
        <v>0</v>
      </c>
      <c r="AR19" s="683">
        <v>0</v>
      </c>
      <c r="AS19" s="685">
        <f t="shared" si="2"/>
        <v>0</v>
      </c>
      <c r="AT19" s="700"/>
      <c r="AU19" s="686">
        <f t="shared" si="3"/>
        <v>11</v>
      </c>
      <c r="AV19" s="665">
        <f t="shared" si="7"/>
        <v>0</v>
      </c>
      <c r="AW19" s="687">
        <f t="shared" si="4"/>
        <v>-1</v>
      </c>
      <c r="AX19" s="663">
        <f t="shared" si="5"/>
        <v>0</v>
      </c>
      <c r="AY19" s="687">
        <v>0</v>
      </c>
      <c r="AZ19" s="687"/>
      <c r="BA19" s="687"/>
      <c r="BC19" s="688">
        <f t="shared" si="6"/>
        <v>0</v>
      </c>
    </row>
    <row r="20" spans="1:55" x14ac:dyDescent="0.25">
      <c r="B20" s="662" t="s">
        <v>950</v>
      </c>
      <c r="C20" s="662" t="s">
        <v>939</v>
      </c>
      <c r="D20" s="663"/>
      <c r="L20" s="662">
        <v>1</v>
      </c>
      <c r="M20" s="662">
        <v>2</v>
      </c>
      <c r="N20" s="662">
        <v>1</v>
      </c>
      <c r="P20" s="662">
        <v>2</v>
      </c>
      <c r="Q20" s="681">
        <f t="shared" si="0"/>
        <v>6</v>
      </c>
      <c r="R20" s="699"/>
      <c r="U20" s="662">
        <v>1</v>
      </c>
      <c r="W20" s="683">
        <v>0</v>
      </c>
      <c r="X20" s="683">
        <v>0</v>
      </c>
      <c r="Y20" s="683">
        <v>0</v>
      </c>
      <c r="Z20" s="683">
        <v>1</v>
      </c>
      <c r="AA20" s="683">
        <v>0</v>
      </c>
      <c r="AB20" s="683">
        <v>0</v>
      </c>
      <c r="AC20" s="683">
        <v>0</v>
      </c>
      <c r="AD20" s="683">
        <v>0</v>
      </c>
      <c r="AE20" s="684">
        <f t="shared" si="10"/>
        <v>2</v>
      </c>
      <c r="AF20" s="700"/>
      <c r="AG20" s="683">
        <v>0</v>
      </c>
      <c r="AH20" s="683">
        <v>0</v>
      </c>
      <c r="AI20" s="683">
        <v>0</v>
      </c>
      <c r="AJ20" s="700">
        <v>1</v>
      </c>
      <c r="AK20" s="683">
        <v>0</v>
      </c>
      <c r="AL20" s="683">
        <v>0</v>
      </c>
      <c r="AM20" s="683">
        <v>0</v>
      </c>
      <c r="AN20" s="700">
        <v>1</v>
      </c>
      <c r="AO20" s="683">
        <v>0</v>
      </c>
      <c r="AP20" s="683">
        <v>0</v>
      </c>
      <c r="AQ20" s="683">
        <v>0</v>
      </c>
      <c r="AR20" s="700">
        <v>1</v>
      </c>
      <c r="AS20" s="685">
        <f t="shared" si="2"/>
        <v>3</v>
      </c>
      <c r="AT20" s="700"/>
      <c r="AU20" s="686">
        <f t="shared" si="3"/>
        <v>6</v>
      </c>
      <c r="AV20" s="665">
        <f t="shared" si="7"/>
        <v>2</v>
      </c>
      <c r="AW20" s="687">
        <f t="shared" si="4"/>
        <v>-0.66666666666666674</v>
      </c>
      <c r="AX20" s="663">
        <f t="shared" si="5"/>
        <v>3</v>
      </c>
      <c r="AY20" s="687">
        <f t="shared" si="8"/>
        <v>0.5</v>
      </c>
      <c r="AZ20" s="687"/>
      <c r="BA20" s="687"/>
      <c r="BC20" s="688">
        <f t="shared" si="6"/>
        <v>1.9178082191780823E-2</v>
      </c>
    </row>
    <row r="21" spans="1:55" x14ac:dyDescent="0.25">
      <c r="B21" s="662" t="s">
        <v>951</v>
      </c>
      <c r="C21" s="662" t="s">
        <v>939</v>
      </c>
      <c r="D21" s="663"/>
      <c r="E21" s="662">
        <v>12</v>
      </c>
      <c r="F21" s="662">
        <v>8</v>
      </c>
      <c r="G21" s="662">
        <v>10</v>
      </c>
      <c r="H21" s="662">
        <v>7</v>
      </c>
      <c r="I21" s="662">
        <v>6</v>
      </c>
      <c r="J21" s="662">
        <v>9</v>
      </c>
      <c r="K21" s="662">
        <v>6</v>
      </c>
      <c r="L21" s="662">
        <v>10</v>
      </c>
      <c r="M21" s="662">
        <v>8</v>
      </c>
      <c r="N21" s="662">
        <v>16</v>
      </c>
      <c r="O21" s="662">
        <v>11</v>
      </c>
      <c r="P21" s="662">
        <v>10</v>
      </c>
      <c r="Q21" s="681">
        <f t="shared" si="0"/>
        <v>113</v>
      </c>
      <c r="R21" s="699"/>
      <c r="S21" s="662">
        <v>6</v>
      </c>
      <c r="T21" s="662">
        <v>11</v>
      </c>
      <c r="U21" s="662">
        <v>11</v>
      </c>
      <c r="V21" s="662">
        <v>5</v>
      </c>
      <c r="W21" s="683">
        <v>9</v>
      </c>
      <c r="X21" s="683">
        <v>8</v>
      </c>
      <c r="Y21" s="683">
        <v>9</v>
      </c>
      <c r="Z21" s="683">
        <v>8</v>
      </c>
      <c r="AA21" s="683">
        <v>9</v>
      </c>
      <c r="AB21" s="683">
        <v>9</v>
      </c>
      <c r="AC21" s="683">
        <v>9</v>
      </c>
      <c r="AD21" s="683">
        <v>9</v>
      </c>
      <c r="AE21" s="684">
        <f t="shared" si="10"/>
        <v>103</v>
      </c>
      <c r="AF21" s="700"/>
      <c r="AG21" s="700">
        <v>8</v>
      </c>
      <c r="AH21" s="700">
        <v>9</v>
      </c>
      <c r="AI21" s="700">
        <v>9</v>
      </c>
      <c r="AJ21" s="700">
        <v>9</v>
      </c>
      <c r="AK21" s="700">
        <v>9</v>
      </c>
      <c r="AL21" s="700">
        <v>9</v>
      </c>
      <c r="AM21" s="700">
        <v>9</v>
      </c>
      <c r="AN21" s="700">
        <v>8</v>
      </c>
      <c r="AO21" s="700">
        <v>8</v>
      </c>
      <c r="AP21" s="700">
        <v>8</v>
      </c>
      <c r="AQ21" s="700">
        <v>9</v>
      </c>
      <c r="AR21" s="700">
        <v>8</v>
      </c>
      <c r="AS21" s="685">
        <f t="shared" si="2"/>
        <v>103</v>
      </c>
      <c r="AT21" s="700"/>
      <c r="AU21" s="686">
        <f t="shared" si="3"/>
        <v>113</v>
      </c>
      <c r="AV21" s="665">
        <f t="shared" si="7"/>
        <v>103</v>
      </c>
      <c r="AW21" s="687">
        <f t="shared" si="4"/>
        <v>-8.8495575221238965E-2</v>
      </c>
      <c r="AX21" s="663">
        <f t="shared" si="5"/>
        <v>103</v>
      </c>
      <c r="AY21" s="687">
        <f t="shared" si="8"/>
        <v>0</v>
      </c>
      <c r="AZ21" s="687"/>
      <c r="BA21" s="687"/>
      <c r="BC21" s="688">
        <f t="shared" si="6"/>
        <v>0.29863013698630136</v>
      </c>
    </row>
    <row r="22" spans="1:55" x14ac:dyDescent="0.25">
      <c r="B22" s="662" t="s">
        <v>952</v>
      </c>
      <c r="C22" s="662" t="s">
        <v>939</v>
      </c>
      <c r="D22" s="663" t="s">
        <v>953</v>
      </c>
      <c r="H22" s="662">
        <v>3</v>
      </c>
      <c r="I22" s="662">
        <v>3</v>
      </c>
      <c r="K22" s="662">
        <v>5</v>
      </c>
      <c r="M22" s="662">
        <v>4</v>
      </c>
      <c r="O22" s="662">
        <v>1</v>
      </c>
      <c r="P22" s="662">
        <v>1</v>
      </c>
      <c r="Q22" s="681">
        <f t="shared" si="0"/>
        <v>17</v>
      </c>
      <c r="R22" s="699"/>
      <c r="W22" s="683">
        <v>0</v>
      </c>
      <c r="X22" s="683">
        <v>0</v>
      </c>
      <c r="Y22" s="683">
        <v>0</v>
      </c>
      <c r="Z22" s="683">
        <v>2</v>
      </c>
      <c r="AA22" s="683">
        <v>2</v>
      </c>
      <c r="AB22" s="683">
        <v>2</v>
      </c>
      <c r="AC22" s="683">
        <v>2</v>
      </c>
      <c r="AD22" s="683">
        <v>2</v>
      </c>
      <c r="AE22" s="684">
        <f t="shared" si="10"/>
        <v>10</v>
      </c>
      <c r="AF22" s="700"/>
      <c r="AG22" s="700">
        <v>2</v>
      </c>
      <c r="AH22" s="700">
        <v>2</v>
      </c>
      <c r="AI22" s="700">
        <v>2</v>
      </c>
      <c r="AJ22" s="700">
        <v>2</v>
      </c>
      <c r="AK22" s="700">
        <v>2</v>
      </c>
      <c r="AL22" s="700">
        <v>2</v>
      </c>
      <c r="AM22" s="700">
        <v>2</v>
      </c>
      <c r="AN22" s="700">
        <v>2</v>
      </c>
      <c r="AO22" s="700">
        <v>2</v>
      </c>
      <c r="AP22" s="700">
        <v>2</v>
      </c>
      <c r="AQ22" s="700">
        <v>2</v>
      </c>
      <c r="AR22" s="700">
        <v>2</v>
      </c>
      <c r="AS22" s="685">
        <f t="shared" si="2"/>
        <v>24</v>
      </c>
      <c r="AT22" s="700"/>
      <c r="AU22" s="686">
        <f t="shared" si="3"/>
        <v>17</v>
      </c>
      <c r="AV22" s="665">
        <f t="shared" si="7"/>
        <v>10</v>
      </c>
      <c r="AW22" s="687">
        <f t="shared" si="4"/>
        <v>-0.41176470588235292</v>
      </c>
      <c r="AX22" s="663">
        <f t="shared" si="5"/>
        <v>24</v>
      </c>
      <c r="AY22" s="687">
        <v>0</v>
      </c>
      <c r="AZ22" s="687"/>
      <c r="BA22" s="687"/>
      <c r="BC22" s="688">
        <f t="shared" si="6"/>
        <v>3.8356164383561646E-2</v>
      </c>
    </row>
    <row r="23" spans="1:55" x14ac:dyDescent="0.25">
      <c r="A23" s="693" t="s">
        <v>954</v>
      </c>
      <c r="B23" s="693"/>
      <c r="C23" s="693"/>
      <c r="D23" s="694"/>
      <c r="E23" s="693">
        <v>16</v>
      </c>
      <c r="F23" s="693">
        <v>12</v>
      </c>
      <c r="G23" s="693">
        <v>16</v>
      </c>
      <c r="H23" s="693">
        <v>10</v>
      </c>
      <c r="I23" s="693">
        <v>12</v>
      </c>
      <c r="J23" s="693">
        <v>12</v>
      </c>
      <c r="K23" s="693">
        <v>16</v>
      </c>
      <c r="L23" s="693">
        <v>18</v>
      </c>
      <c r="M23" s="693">
        <v>23</v>
      </c>
      <c r="N23" s="693">
        <v>22</v>
      </c>
      <c r="O23" s="693">
        <v>18</v>
      </c>
      <c r="P23" s="693">
        <v>18</v>
      </c>
      <c r="Q23" s="695">
        <f t="shared" si="0"/>
        <v>193</v>
      </c>
      <c r="R23" s="695"/>
      <c r="S23" s="693">
        <v>14</v>
      </c>
      <c r="T23" s="693">
        <v>17</v>
      </c>
      <c r="U23" s="693">
        <v>22</v>
      </c>
      <c r="V23" s="693">
        <v>17</v>
      </c>
      <c r="W23" s="696">
        <f>SUM(W14:W22)</f>
        <v>15</v>
      </c>
      <c r="X23" s="696">
        <f t="shared" ref="X23:AD23" si="16">SUM(X14:X22)</f>
        <v>15</v>
      </c>
      <c r="Y23" s="696">
        <f t="shared" si="16"/>
        <v>16</v>
      </c>
      <c r="Z23" s="696">
        <f t="shared" si="16"/>
        <v>20</v>
      </c>
      <c r="AA23" s="696">
        <f t="shared" si="16"/>
        <v>20</v>
      </c>
      <c r="AB23" s="696">
        <f t="shared" si="16"/>
        <v>20</v>
      </c>
      <c r="AC23" s="696">
        <f t="shared" si="16"/>
        <v>20</v>
      </c>
      <c r="AD23" s="696">
        <f t="shared" si="16"/>
        <v>20</v>
      </c>
      <c r="AE23" s="697">
        <f t="shared" si="10"/>
        <v>216</v>
      </c>
      <c r="AF23" s="694"/>
      <c r="AG23" s="694">
        <f t="shared" ref="AG23:AR23" si="17">SUM(AG14:AG22)</f>
        <v>19</v>
      </c>
      <c r="AH23" s="694">
        <f t="shared" si="17"/>
        <v>20</v>
      </c>
      <c r="AI23" s="694">
        <f t="shared" si="17"/>
        <v>20</v>
      </c>
      <c r="AJ23" s="694">
        <f t="shared" si="17"/>
        <v>20</v>
      </c>
      <c r="AK23" s="694">
        <f t="shared" si="17"/>
        <v>20</v>
      </c>
      <c r="AL23" s="694">
        <f t="shared" si="17"/>
        <v>20</v>
      </c>
      <c r="AM23" s="694">
        <f t="shared" si="17"/>
        <v>20</v>
      </c>
      <c r="AN23" s="694">
        <f t="shared" si="17"/>
        <v>19</v>
      </c>
      <c r="AO23" s="694">
        <f t="shared" si="17"/>
        <v>19</v>
      </c>
      <c r="AP23" s="694">
        <f t="shared" si="17"/>
        <v>19</v>
      </c>
      <c r="AQ23" s="694">
        <f t="shared" si="17"/>
        <v>19</v>
      </c>
      <c r="AR23" s="694">
        <f t="shared" si="17"/>
        <v>20</v>
      </c>
      <c r="AS23" s="694">
        <f>SUM(AS14:AS22)</f>
        <v>235</v>
      </c>
      <c r="AT23" s="694"/>
      <c r="AU23" s="697">
        <f t="shared" si="3"/>
        <v>193</v>
      </c>
      <c r="AV23" s="697">
        <f t="shared" si="7"/>
        <v>216</v>
      </c>
      <c r="AW23" s="698">
        <f t="shared" si="4"/>
        <v>0.11917098445595853</v>
      </c>
      <c r="AX23" s="694">
        <f t="shared" si="5"/>
        <v>235</v>
      </c>
      <c r="AY23" s="698">
        <f t="shared" si="8"/>
        <v>8.7962962962963021E-2</v>
      </c>
      <c r="AZ23" s="698"/>
      <c r="BA23" s="698"/>
      <c r="BC23" s="688">
        <f t="shared" si="6"/>
        <v>0.57260273972602738</v>
      </c>
    </row>
    <row r="24" spans="1:55" x14ac:dyDescent="0.25">
      <c r="A24" s="664" t="s">
        <v>955</v>
      </c>
      <c r="B24" s="662" t="s">
        <v>956</v>
      </c>
      <c r="C24" s="662" t="s">
        <v>932</v>
      </c>
      <c r="D24" s="663" t="s">
        <v>957</v>
      </c>
      <c r="E24" s="662">
        <v>6</v>
      </c>
      <c r="F24" s="662">
        <v>3</v>
      </c>
      <c r="G24" s="662">
        <v>6</v>
      </c>
      <c r="H24" s="662">
        <v>9</v>
      </c>
      <c r="I24" s="662">
        <v>2</v>
      </c>
      <c r="J24" s="662">
        <v>4</v>
      </c>
      <c r="K24" s="662">
        <v>4</v>
      </c>
      <c r="L24" s="662">
        <v>3</v>
      </c>
      <c r="M24" s="662">
        <v>2</v>
      </c>
      <c r="N24" s="662">
        <v>3</v>
      </c>
      <c r="O24" s="662">
        <v>5</v>
      </c>
      <c r="P24" s="662">
        <v>3</v>
      </c>
      <c r="Q24" s="681">
        <f t="shared" si="0"/>
        <v>50</v>
      </c>
      <c r="R24" s="699"/>
      <c r="S24" s="662">
        <v>3</v>
      </c>
      <c r="U24" s="662">
        <v>4</v>
      </c>
      <c r="V24" s="662">
        <v>3</v>
      </c>
      <c r="W24" s="683">
        <v>3</v>
      </c>
      <c r="X24" s="683">
        <v>3</v>
      </c>
      <c r="Y24" s="683">
        <v>3</v>
      </c>
      <c r="Z24" s="683">
        <v>3</v>
      </c>
      <c r="AA24" s="683">
        <v>3</v>
      </c>
      <c r="AB24" s="683">
        <v>3</v>
      </c>
      <c r="AC24" s="683">
        <v>3</v>
      </c>
      <c r="AD24" s="683">
        <f t="shared" ref="W24:AD50" si="18">$BC24*AD$1</f>
        <v>2.9589041095890409</v>
      </c>
      <c r="AE24" s="684">
        <f t="shared" si="10"/>
        <v>33.958904109589042</v>
      </c>
      <c r="AF24" s="700"/>
      <c r="AG24" s="700">
        <v>2</v>
      </c>
      <c r="AH24" s="700">
        <v>2</v>
      </c>
      <c r="AI24" s="700">
        <v>2</v>
      </c>
      <c r="AJ24" s="700">
        <v>2</v>
      </c>
      <c r="AK24" s="700">
        <v>2</v>
      </c>
      <c r="AL24" s="700">
        <v>2</v>
      </c>
      <c r="AM24" s="700">
        <v>2</v>
      </c>
      <c r="AN24" s="700">
        <v>2</v>
      </c>
      <c r="AO24" s="700">
        <v>2</v>
      </c>
      <c r="AP24" s="700">
        <v>2</v>
      </c>
      <c r="AQ24" s="700">
        <v>2</v>
      </c>
      <c r="AR24" s="700">
        <v>2</v>
      </c>
      <c r="AS24" s="685">
        <f t="shared" si="2"/>
        <v>24</v>
      </c>
      <c r="AT24" s="700"/>
      <c r="AU24" s="686">
        <f t="shared" si="3"/>
        <v>50</v>
      </c>
      <c r="AV24" s="665">
        <f t="shared" si="7"/>
        <v>33.958904109589042</v>
      </c>
      <c r="AW24" s="687">
        <f t="shared" si="4"/>
        <v>-0.32082191780821911</v>
      </c>
      <c r="AX24" s="663">
        <f t="shared" si="5"/>
        <v>24</v>
      </c>
      <c r="AY24" s="687">
        <f t="shared" si="8"/>
        <v>-0.29326341266639777</v>
      </c>
      <c r="AZ24" s="687"/>
      <c r="BA24" s="687"/>
      <c r="BC24" s="688">
        <f t="shared" si="6"/>
        <v>9.8630136986301367E-2</v>
      </c>
    </row>
    <row r="25" spans="1:55" x14ac:dyDescent="0.25">
      <c r="C25" s="662" t="s">
        <v>939</v>
      </c>
      <c r="D25" s="663" t="s">
        <v>957</v>
      </c>
      <c r="E25" s="662">
        <v>2</v>
      </c>
      <c r="H25" s="662">
        <v>1</v>
      </c>
      <c r="M25" s="662">
        <v>2</v>
      </c>
      <c r="Q25" s="681">
        <f t="shared" si="0"/>
        <v>5</v>
      </c>
      <c r="R25" s="699"/>
      <c r="S25" s="662">
        <v>1</v>
      </c>
      <c r="T25" s="662">
        <v>1</v>
      </c>
      <c r="W25" s="683">
        <v>0</v>
      </c>
      <c r="X25" s="683">
        <v>0</v>
      </c>
      <c r="Y25" s="683">
        <v>0</v>
      </c>
      <c r="Z25" s="683">
        <v>0</v>
      </c>
      <c r="AA25" s="683">
        <v>0</v>
      </c>
      <c r="AB25" s="683">
        <v>0</v>
      </c>
      <c r="AC25" s="683">
        <v>0</v>
      </c>
      <c r="AD25" s="683">
        <v>0</v>
      </c>
      <c r="AE25" s="684">
        <f t="shared" si="10"/>
        <v>2</v>
      </c>
      <c r="AF25" s="700"/>
      <c r="AG25" s="683">
        <v>0</v>
      </c>
      <c r="AH25" s="683">
        <v>0</v>
      </c>
      <c r="AI25" s="683">
        <v>0</v>
      </c>
      <c r="AJ25" s="683">
        <v>0</v>
      </c>
      <c r="AK25" s="683">
        <v>0</v>
      </c>
      <c r="AL25" s="683">
        <v>0</v>
      </c>
      <c r="AM25" s="683">
        <v>0</v>
      </c>
      <c r="AN25" s="683">
        <v>0</v>
      </c>
      <c r="AO25" s="683">
        <v>0</v>
      </c>
      <c r="AP25" s="683">
        <v>0</v>
      </c>
      <c r="AQ25" s="683">
        <v>0</v>
      </c>
      <c r="AR25" s="683">
        <v>0</v>
      </c>
      <c r="AS25" s="685">
        <f t="shared" si="2"/>
        <v>0</v>
      </c>
      <c r="AT25" s="700"/>
      <c r="AU25" s="686">
        <f t="shared" si="3"/>
        <v>5</v>
      </c>
      <c r="AV25" s="665">
        <f t="shared" si="7"/>
        <v>2</v>
      </c>
      <c r="AW25" s="687">
        <f t="shared" si="4"/>
        <v>-0.6</v>
      </c>
      <c r="AX25" s="663">
        <f t="shared" si="5"/>
        <v>0</v>
      </c>
      <c r="AY25" s="687">
        <f t="shared" si="8"/>
        <v>-1</v>
      </c>
      <c r="AZ25" s="687"/>
      <c r="BA25" s="687"/>
      <c r="BC25" s="688">
        <f t="shared" si="6"/>
        <v>1.0958904109589041E-2</v>
      </c>
    </row>
    <row r="26" spans="1:55" x14ac:dyDescent="0.25">
      <c r="B26" s="662" t="s">
        <v>958</v>
      </c>
      <c r="C26" s="662" t="s">
        <v>932</v>
      </c>
      <c r="D26" s="663" t="s">
        <v>945</v>
      </c>
      <c r="Q26" s="681">
        <f t="shared" si="0"/>
        <v>0</v>
      </c>
      <c r="R26" s="699"/>
      <c r="S26" s="662">
        <v>3</v>
      </c>
      <c r="W26" s="683">
        <v>0</v>
      </c>
      <c r="X26" s="683">
        <v>0</v>
      </c>
      <c r="Y26" s="683">
        <v>0</v>
      </c>
      <c r="Z26" s="683">
        <v>0</v>
      </c>
      <c r="AA26" s="683">
        <v>0</v>
      </c>
      <c r="AB26" s="683">
        <v>0</v>
      </c>
      <c r="AC26" s="683">
        <v>0</v>
      </c>
      <c r="AD26" s="683">
        <v>0</v>
      </c>
      <c r="AE26" s="684">
        <f t="shared" si="10"/>
        <v>3</v>
      </c>
      <c r="AF26" s="700"/>
      <c r="AG26" s="683">
        <v>0</v>
      </c>
      <c r="AH26" s="683">
        <v>0</v>
      </c>
      <c r="AI26" s="683">
        <v>0</v>
      </c>
      <c r="AJ26" s="683">
        <v>0</v>
      </c>
      <c r="AK26" s="683">
        <v>0</v>
      </c>
      <c r="AL26" s="683">
        <v>0</v>
      </c>
      <c r="AM26" s="683">
        <v>0</v>
      </c>
      <c r="AN26" s="683">
        <v>0</v>
      </c>
      <c r="AO26" s="683">
        <v>0</v>
      </c>
      <c r="AP26" s="683">
        <v>0</v>
      </c>
      <c r="AQ26" s="683">
        <v>0</v>
      </c>
      <c r="AR26" s="683">
        <v>0</v>
      </c>
      <c r="AS26" s="685">
        <f t="shared" si="2"/>
        <v>0</v>
      </c>
      <c r="AT26" s="700"/>
      <c r="AU26" s="686">
        <f t="shared" si="3"/>
        <v>0</v>
      </c>
      <c r="AV26" s="665">
        <f t="shared" si="7"/>
        <v>3</v>
      </c>
      <c r="AW26" s="687">
        <v>1</v>
      </c>
      <c r="AX26" s="663">
        <f t="shared" si="5"/>
        <v>0</v>
      </c>
      <c r="AY26" s="687">
        <f t="shared" si="8"/>
        <v>-1</v>
      </c>
      <c r="AZ26" s="687"/>
      <c r="BA26" s="687"/>
      <c r="BC26" s="688">
        <f t="shared" si="6"/>
        <v>8.21917808219178E-3</v>
      </c>
    </row>
    <row r="27" spans="1:55" x14ac:dyDescent="0.25">
      <c r="B27" s="662" t="s">
        <v>959</v>
      </c>
      <c r="C27" s="662" t="s">
        <v>932</v>
      </c>
      <c r="D27" s="663" t="s">
        <v>960</v>
      </c>
      <c r="E27" s="662">
        <v>1</v>
      </c>
      <c r="F27" s="662">
        <v>3</v>
      </c>
      <c r="G27" s="662">
        <v>2</v>
      </c>
      <c r="I27" s="662">
        <v>2</v>
      </c>
      <c r="K27" s="662">
        <v>3</v>
      </c>
      <c r="P27" s="662">
        <v>1</v>
      </c>
      <c r="Q27" s="681">
        <f t="shared" si="0"/>
        <v>12</v>
      </c>
      <c r="R27" s="699"/>
      <c r="W27" s="683">
        <v>0</v>
      </c>
      <c r="X27" s="683">
        <v>0</v>
      </c>
      <c r="Y27" s="683">
        <v>0</v>
      </c>
      <c r="Z27" s="683">
        <v>0</v>
      </c>
      <c r="AA27" s="683">
        <v>0</v>
      </c>
      <c r="AB27" s="683">
        <v>0</v>
      </c>
      <c r="AC27" s="683">
        <v>0</v>
      </c>
      <c r="AD27" s="683">
        <v>0</v>
      </c>
      <c r="AE27" s="684">
        <f t="shared" si="10"/>
        <v>0</v>
      </c>
      <c r="AF27" s="700"/>
      <c r="AG27" s="683">
        <v>0</v>
      </c>
      <c r="AH27" s="683">
        <v>0</v>
      </c>
      <c r="AI27" s="683">
        <v>0</v>
      </c>
      <c r="AJ27" s="683">
        <v>0</v>
      </c>
      <c r="AK27" s="683">
        <v>0</v>
      </c>
      <c r="AL27" s="683">
        <v>0</v>
      </c>
      <c r="AM27" s="683">
        <v>0</v>
      </c>
      <c r="AN27" s="683">
        <v>0</v>
      </c>
      <c r="AO27" s="683">
        <v>0</v>
      </c>
      <c r="AP27" s="683">
        <v>0</v>
      </c>
      <c r="AQ27" s="683">
        <v>0</v>
      </c>
      <c r="AR27" s="683">
        <v>0</v>
      </c>
      <c r="AS27" s="685">
        <f t="shared" si="2"/>
        <v>0</v>
      </c>
      <c r="AT27" s="700"/>
      <c r="AU27" s="686">
        <f t="shared" si="3"/>
        <v>12</v>
      </c>
      <c r="AV27" s="665">
        <f t="shared" si="7"/>
        <v>0</v>
      </c>
      <c r="AW27" s="687">
        <f t="shared" si="4"/>
        <v>-1</v>
      </c>
      <c r="AX27" s="663">
        <f t="shared" si="5"/>
        <v>0</v>
      </c>
      <c r="AY27" s="687">
        <v>0</v>
      </c>
      <c r="AZ27" s="687"/>
      <c r="BA27" s="687"/>
      <c r="BC27" s="688">
        <f t="shared" si="6"/>
        <v>1.643835616438356E-2</v>
      </c>
    </row>
    <row r="28" spans="1:55" x14ac:dyDescent="0.25">
      <c r="C28" s="662" t="s">
        <v>939</v>
      </c>
      <c r="D28" s="663" t="s">
        <v>960</v>
      </c>
      <c r="E28" s="662">
        <v>7</v>
      </c>
      <c r="F28" s="662">
        <v>6</v>
      </c>
      <c r="G28" s="662">
        <v>7</v>
      </c>
      <c r="H28" s="662">
        <v>6</v>
      </c>
      <c r="I28" s="662">
        <v>5</v>
      </c>
      <c r="J28" s="662">
        <v>9</v>
      </c>
      <c r="K28" s="662">
        <v>5</v>
      </c>
      <c r="L28" s="662">
        <v>6</v>
      </c>
      <c r="M28" s="662">
        <v>3</v>
      </c>
      <c r="N28" s="662">
        <v>5</v>
      </c>
      <c r="O28" s="662">
        <v>7</v>
      </c>
      <c r="P28" s="662">
        <v>6</v>
      </c>
      <c r="Q28" s="681">
        <f t="shared" si="0"/>
        <v>72</v>
      </c>
      <c r="R28" s="699"/>
      <c r="S28" s="662">
        <v>3</v>
      </c>
      <c r="T28" s="662">
        <v>6</v>
      </c>
      <c r="U28" s="662">
        <v>7</v>
      </c>
      <c r="V28" s="662">
        <v>8</v>
      </c>
      <c r="W28" s="683">
        <v>6</v>
      </c>
      <c r="X28" s="683">
        <v>5</v>
      </c>
      <c r="Y28" s="683">
        <v>3</v>
      </c>
      <c r="Z28" s="683">
        <v>8</v>
      </c>
      <c r="AA28" s="683">
        <v>8</v>
      </c>
      <c r="AB28" s="683">
        <v>8</v>
      </c>
      <c r="AC28" s="683">
        <v>8</v>
      </c>
      <c r="AD28" s="683">
        <v>8</v>
      </c>
      <c r="AE28" s="684">
        <f t="shared" si="10"/>
        <v>78</v>
      </c>
      <c r="AF28" s="700"/>
      <c r="AG28" s="700">
        <v>7</v>
      </c>
      <c r="AH28" s="700">
        <v>7</v>
      </c>
      <c r="AI28" s="700">
        <v>7</v>
      </c>
      <c r="AJ28" s="700">
        <v>7</v>
      </c>
      <c r="AK28" s="700">
        <v>7</v>
      </c>
      <c r="AL28" s="700">
        <v>6</v>
      </c>
      <c r="AM28" s="700">
        <v>6</v>
      </c>
      <c r="AN28" s="700">
        <v>7</v>
      </c>
      <c r="AO28" s="700">
        <v>7</v>
      </c>
      <c r="AP28" s="700">
        <v>7</v>
      </c>
      <c r="AQ28" s="700">
        <v>7</v>
      </c>
      <c r="AR28" s="700">
        <v>7</v>
      </c>
      <c r="AS28" s="685">
        <f t="shared" si="2"/>
        <v>82</v>
      </c>
      <c r="AT28" s="700"/>
      <c r="AU28" s="686">
        <f t="shared" si="3"/>
        <v>72</v>
      </c>
      <c r="AV28" s="665">
        <f t="shared" si="7"/>
        <v>78</v>
      </c>
      <c r="AW28" s="687">
        <f t="shared" si="4"/>
        <v>8.3333333333333259E-2</v>
      </c>
      <c r="AX28" s="663">
        <f t="shared" si="5"/>
        <v>82</v>
      </c>
      <c r="AY28" s="687">
        <f t="shared" si="8"/>
        <v>5.1282051282051322E-2</v>
      </c>
      <c r="AZ28" s="687"/>
      <c r="BA28" s="687"/>
      <c r="BC28" s="688">
        <f t="shared" si="6"/>
        <v>0.19178082191780821</v>
      </c>
    </row>
    <row r="29" spans="1:55" x14ac:dyDescent="0.25">
      <c r="C29" s="662" t="s">
        <v>961</v>
      </c>
      <c r="D29" s="663" t="s">
        <v>960</v>
      </c>
      <c r="Q29" s="681">
        <f t="shared" si="0"/>
        <v>0</v>
      </c>
      <c r="R29" s="691"/>
      <c r="T29" s="662">
        <v>2</v>
      </c>
      <c r="U29" s="662">
        <v>3</v>
      </c>
      <c r="V29" s="662">
        <v>2</v>
      </c>
      <c r="W29" s="683">
        <v>1</v>
      </c>
      <c r="X29" s="683">
        <v>1</v>
      </c>
      <c r="Y29" s="683">
        <v>1</v>
      </c>
      <c r="Z29" s="683">
        <v>2</v>
      </c>
      <c r="AA29" s="683">
        <v>2</v>
      </c>
      <c r="AB29" s="683">
        <v>2</v>
      </c>
      <c r="AC29" s="683">
        <v>2</v>
      </c>
      <c r="AD29" s="683">
        <v>2</v>
      </c>
      <c r="AE29" s="684">
        <f t="shared" si="10"/>
        <v>20</v>
      </c>
      <c r="AG29" s="683">
        <v>3</v>
      </c>
      <c r="AH29" s="683">
        <v>3</v>
      </c>
      <c r="AI29" s="683">
        <v>3</v>
      </c>
      <c r="AJ29" s="683">
        <v>3</v>
      </c>
      <c r="AK29" s="683">
        <v>3</v>
      </c>
      <c r="AL29" s="683">
        <v>3</v>
      </c>
      <c r="AM29" s="683">
        <v>3</v>
      </c>
      <c r="AN29" s="683">
        <v>3</v>
      </c>
      <c r="AO29" s="683">
        <v>3</v>
      </c>
      <c r="AP29" s="683">
        <v>3</v>
      </c>
      <c r="AQ29" s="683">
        <v>3</v>
      </c>
      <c r="AR29" s="683">
        <v>3</v>
      </c>
      <c r="AS29" s="685">
        <f t="shared" si="2"/>
        <v>36</v>
      </c>
      <c r="AU29" s="686">
        <f t="shared" si="3"/>
        <v>0</v>
      </c>
      <c r="AV29" s="665">
        <f t="shared" si="7"/>
        <v>20</v>
      </c>
      <c r="AW29" s="687">
        <v>1</v>
      </c>
      <c r="AX29" s="663">
        <f t="shared" si="5"/>
        <v>36</v>
      </c>
      <c r="AY29" s="687">
        <f t="shared" si="8"/>
        <v>0.8</v>
      </c>
      <c r="AZ29" s="687"/>
      <c r="BA29" s="687"/>
      <c r="BC29" s="688">
        <f t="shared" si="6"/>
        <v>1.9178082191780823E-2</v>
      </c>
    </row>
    <row r="30" spans="1:55" x14ac:dyDescent="0.25">
      <c r="B30" s="662" t="s">
        <v>962</v>
      </c>
      <c r="C30" s="662" t="s">
        <v>932</v>
      </c>
      <c r="D30" s="663" t="s">
        <v>957</v>
      </c>
      <c r="I30" s="662">
        <v>2</v>
      </c>
      <c r="M30" s="662">
        <v>2</v>
      </c>
      <c r="N30" s="662">
        <v>3</v>
      </c>
      <c r="O30" s="662">
        <v>4</v>
      </c>
      <c r="Q30" s="681">
        <f t="shared" si="0"/>
        <v>11</v>
      </c>
      <c r="R30" s="691"/>
      <c r="S30" s="662">
        <v>1</v>
      </c>
      <c r="T30" s="662">
        <v>2</v>
      </c>
      <c r="U30" s="662">
        <v>4</v>
      </c>
      <c r="V30" s="662">
        <v>3</v>
      </c>
      <c r="W30" s="683">
        <v>3</v>
      </c>
      <c r="X30" s="683">
        <v>2</v>
      </c>
      <c r="Y30" s="683">
        <v>3</v>
      </c>
      <c r="Z30" s="683">
        <v>2</v>
      </c>
      <c r="AA30" s="683">
        <v>2</v>
      </c>
      <c r="AB30" s="683">
        <v>2</v>
      </c>
      <c r="AC30" s="683">
        <v>2</v>
      </c>
      <c r="AD30" s="683">
        <v>2</v>
      </c>
      <c r="AE30" s="684">
        <f t="shared" si="10"/>
        <v>28</v>
      </c>
      <c r="AG30" s="692">
        <v>2</v>
      </c>
      <c r="AH30" s="692">
        <v>2</v>
      </c>
      <c r="AI30" s="692">
        <v>2</v>
      </c>
      <c r="AJ30" s="692">
        <v>2</v>
      </c>
      <c r="AK30" s="692">
        <v>2</v>
      </c>
      <c r="AL30" s="692">
        <v>2</v>
      </c>
      <c r="AM30" s="692">
        <v>2</v>
      </c>
      <c r="AN30" s="692">
        <v>2</v>
      </c>
      <c r="AO30" s="692">
        <v>2</v>
      </c>
      <c r="AP30" s="692">
        <v>2</v>
      </c>
      <c r="AQ30" s="692">
        <v>2</v>
      </c>
      <c r="AR30" s="692">
        <v>2</v>
      </c>
      <c r="AS30" s="685">
        <f t="shared" si="2"/>
        <v>24</v>
      </c>
      <c r="AU30" s="686">
        <f t="shared" si="3"/>
        <v>11</v>
      </c>
      <c r="AV30" s="665">
        <f t="shared" si="7"/>
        <v>28</v>
      </c>
      <c r="AW30" s="687">
        <f t="shared" si="4"/>
        <v>1.5454545454545454</v>
      </c>
      <c r="AX30" s="663">
        <f t="shared" si="5"/>
        <v>24</v>
      </c>
      <c r="AY30" s="687">
        <f t="shared" si="8"/>
        <v>-0.1428571428571429</v>
      </c>
      <c r="AZ30" s="687"/>
      <c r="BA30" s="687"/>
      <c r="BC30" s="688">
        <f t="shared" si="6"/>
        <v>5.7534246575342465E-2</v>
      </c>
    </row>
    <row r="31" spans="1:55" x14ac:dyDescent="0.25">
      <c r="C31" s="662" t="s">
        <v>939</v>
      </c>
      <c r="D31" s="663" t="s">
        <v>957</v>
      </c>
      <c r="Q31" s="681">
        <f t="shared" si="0"/>
        <v>0</v>
      </c>
      <c r="R31" s="691"/>
      <c r="S31" s="662">
        <v>2</v>
      </c>
      <c r="V31" s="662">
        <v>2</v>
      </c>
      <c r="W31" s="683">
        <v>0</v>
      </c>
      <c r="X31" s="683">
        <v>0</v>
      </c>
      <c r="Y31" s="683">
        <v>2</v>
      </c>
      <c r="Z31" s="683">
        <v>0</v>
      </c>
      <c r="AA31" s="683">
        <v>0</v>
      </c>
      <c r="AB31" s="683">
        <v>2</v>
      </c>
      <c r="AC31" s="683">
        <v>0</v>
      </c>
      <c r="AD31" s="683">
        <v>0</v>
      </c>
      <c r="AE31" s="684">
        <f t="shared" si="10"/>
        <v>8</v>
      </c>
      <c r="AG31" s="692">
        <v>1</v>
      </c>
      <c r="AH31" s="683">
        <v>0</v>
      </c>
      <c r="AI31" s="683">
        <v>0</v>
      </c>
      <c r="AJ31" s="692">
        <v>1</v>
      </c>
      <c r="AK31" s="683"/>
      <c r="AL31" s="683">
        <v>0</v>
      </c>
      <c r="AM31" s="692">
        <v>1</v>
      </c>
      <c r="AN31" s="683">
        <v>0</v>
      </c>
      <c r="AO31" s="683">
        <v>0</v>
      </c>
      <c r="AP31" s="692">
        <v>1</v>
      </c>
      <c r="AQ31" s="683">
        <v>0</v>
      </c>
      <c r="AR31" s="683">
        <v>0</v>
      </c>
      <c r="AS31" s="685">
        <f t="shared" si="2"/>
        <v>4</v>
      </c>
      <c r="AU31" s="686">
        <f t="shared" si="3"/>
        <v>0</v>
      </c>
      <c r="AV31" s="665">
        <f t="shared" si="7"/>
        <v>8</v>
      </c>
      <c r="AW31" s="687">
        <v>1</v>
      </c>
      <c r="AX31" s="663">
        <f t="shared" si="5"/>
        <v>4</v>
      </c>
      <c r="AY31" s="687">
        <f t="shared" si="8"/>
        <v>-0.5</v>
      </c>
      <c r="AZ31" s="687"/>
      <c r="BA31" s="687"/>
      <c r="BC31" s="688">
        <f t="shared" si="6"/>
        <v>1.0958904109589041E-2</v>
      </c>
    </row>
    <row r="32" spans="1:55" x14ac:dyDescent="0.25">
      <c r="B32" s="662" t="s">
        <v>963</v>
      </c>
      <c r="C32" s="662" t="s">
        <v>932</v>
      </c>
      <c r="D32" s="663" t="s">
        <v>957</v>
      </c>
      <c r="F32" s="662">
        <v>2</v>
      </c>
      <c r="G32" s="662">
        <v>3</v>
      </c>
      <c r="K32" s="662">
        <v>2</v>
      </c>
      <c r="M32" s="662">
        <v>2</v>
      </c>
      <c r="N32" s="662">
        <v>2</v>
      </c>
      <c r="O32" s="662">
        <v>1</v>
      </c>
      <c r="P32" s="662">
        <v>2</v>
      </c>
      <c r="Q32" s="681">
        <f t="shared" si="0"/>
        <v>14</v>
      </c>
      <c r="R32" s="691"/>
      <c r="W32" s="683">
        <v>0</v>
      </c>
      <c r="X32" s="683">
        <v>0</v>
      </c>
      <c r="Y32" s="683">
        <v>0</v>
      </c>
      <c r="Z32" s="683">
        <v>0</v>
      </c>
      <c r="AA32" s="683">
        <v>0</v>
      </c>
      <c r="AB32" s="683">
        <v>0</v>
      </c>
      <c r="AC32" s="683">
        <v>0</v>
      </c>
      <c r="AD32" s="683">
        <v>0</v>
      </c>
      <c r="AE32" s="684">
        <f t="shared" si="10"/>
        <v>0</v>
      </c>
      <c r="AG32" s="683">
        <v>0</v>
      </c>
      <c r="AH32" s="683">
        <v>0</v>
      </c>
      <c r="AI32" s="683">
        <v>0</v>
      </c>
      <c r="AJ32" s="683">
        <v>0</v>
      </c>
      <c r="AK32" s="683">
        <v>0</v>
      </c>
      <c r="AL32" s="683">
        <v>0</v>
      </c>
      <c r="AM32" s="683">
        <v>0</v>
      </c>
      <c r="AN32" s="683">
        <v>0</v>
      </c>
      <c r="AO32" s="683">
        <v>0</v>
      </c>
      <c r="AP32" s="683">
        <v>0</v>
      </c>
      <c r="AQ32" s="683">
        <v>0</v>
      </c>
      <c r="AR32" s="683">
        <v>0</v>
      </c>
      <c r="AS32" s="685">
        <f t="shared" si="2"/>
        <v>0</v>
      </c>
      <c r="AU32" s="686">
        <f t="shared" si="3"/>
        <v>14</v>
      </c>
      <c r="AV32" s="665">
        <f t="shared" si="7"/>
        <v>0</v>
      </c>
      <c r="AW32" s="687">
        <f t="shared" si="4"/>
        <v>-1</v>
      </c>
      <c r="AX32" s="663">
        <f t="shared" si="5"/>
        <v>0</v>
      </c>
      <c r="AY32" s="687">
        <v>0</v>
      </c>
      <c r="AZ32" s="687"/>
      <c r="BA32" s="687"/>
      <c r="BC32" s="688">
        <f t="shared" si="6"/>
        <v>2.4657534246575342E-2</v>
      </c>
    </row>
    <row r="33" spans="1:55" x14ac:dyDescent="0.25">
      <c r="C33" s="662" t="s">
        <v>939</v>
      </c>
      <c r="D33" s="663" t="s">
        <v>957</v>
      </c>
      <c r="M33" s="662">
        <v>1</v>
      </c>
      <c r="Q33" s="681">
        <f t="shared" si="0"/>
        <v>1</v>
      </c>
      <c r="R33" s="691"/>
      <c r="W33" s="683">
        <v>0</v>
      </c>
      <c r="X33" s="683">
        <v>0</v>
      </c>
      <c r="Y33" s="683">
        <v>0</v>
      </c>
      <c r="Z33" s="683">
        <v>0</v>
      </c>
      <c r="AA33" s="683">
        <v>0</v>
      </c>
      <c r="AB33" s="683">
        <v>0</v>
      </c>
      <c r="AC33" s="683">
        <v>0</v>
      </c>
      <c r="AD33" s="683">
        <v>0</v>
      </c>
      <c r="AE33" s="684">
        <f t="shared" si="10"/>
        <v>0</v>
      </c>
      <c r="AG33" s="683">
        <v>0</v>
      </c>
      <c r="AH33" s="683">
        <v>0</v>
      </c>
      <c r="AI33" s="683">
        <v>0</v>
      </c>
      <c r="AJ33" s="683">
        <v>0</v>
      </c>
      <c r="AK33" s="683">
        <v>0</v>
      </c>
      <c r="AL33" s="683">
        <v>0</v>
      </c>
      <c r="AM33" s="683">
        <v>0</v>
      </c>
      <c r="AN33" s="683">
        <v>0</v>
      </c>
      <c r="AO33" s="683">
        <v>0</v>
      </c>
      <c r="AP33" s="683">
        <v>0</v>
      </c>
      <c r="AQ33" s="683">
        <v>0</v>
      </c>
      <c r="AR33" s="683">
        <v>0</v>
      </c>
      <c r="AS33" s="685">
        <f t="shared" si="2"/>
        <v>0</v>
      </c>
      <c r="AU33" s="686">
        <f t="shared" si="3"/>
        <v>1</v>
      </c>
      <c r="AV33" s="665">
        <f t="shared" si="7"/>
        <v>0</v>
      </c>
      <c r="AW33" s="687">
        <f t="shared" si="4"/>
        <v>-1</v>
      </c>
      <c r="AX33" s="663">
        <f t="shared" si="5"/>
        <v>0</v>
      </c>
      <c r="AY33" s="687">
        <v>0</v>
      </c>
      <c r="AZ33" s="687"/>
      <c r="BA33" s="687"/>
      <c r="BC33" s="688">
        <f t="shared" si="6"/>
        <v>2.7397260273972603E-3</v>
      </c>
    </row>
    <row r="34" spans="1:55" x14ac:dyDescent="0.25">
      <c r="B34" s="662" t="s">
        <v>964</v>
      </c>
      <c r="C34" s="662" t="s">
        <v>932</v>
      </c>
      <c r="D34" s="663" t="s">
        <v>957</v>
      </c>
      <c r="G34" s="662">
        <v>2</v>
      </c>
      <c r="H34" s="662">
        <v>2</v>
      </c>
      <c r="J34" s="662">
        <v>1</v>
      </c>
      <c r="L34" s="662">
        <v>2</v>
      </c>
      <c r="O34" s="662">
        <v>3</v>
      </c>
      <c r="P34" s="662">
        <v>1</v>
      </c>
      <c r="Q34" s="681">
        <f t="shared" si="0"/>
        <v>11</v>
      </c>
      <c r="R34" s="691"/>
      <c r="S34" s="662">
        <v>2</v>
      </c>
      <c r="T34" s="662">
        <v>4</v>
      </c>
      <c r="V34" s="662">
        <v>5</v>
      </c>
      <c r="W34" s="683">
        <v>1</v>
      </c>
      <c r="X34" s="683">
        <v>2</v>
      </c>
      <c r="Y34" s="683">
        <v>2</v>
      </c>
      <c r="Z34" s="683">
        <v>1</v>
      </c>
      <c r="AA34" s="683">
        <v>2</v>
      </c>
      <c r="AB34" s="683">
        <v>1</v>
      </c>
      <c r="AC34" s="683">
        <v>2</v>
      </c>
      <c r="AD34" s="683">
        <v>1</v>
      </c>
      <c r="AE34" s="684">
        <f t="shared" si="10"/>
        <v>23</v>
      </c>
      <c r="AG34" s="692">
        <v>2</v>
      </c>
      <c r="AH34" s="692">
        <v>2</v>
      </c>
      <c r="AI34" s="692">
        <v>2</v>
      </c>
      <c r="AJ34" s="692">
        <v>2</v>
      </c>
      <c r="AK34" s="692">
        <v>2</v>
      </c>
      <c r="AL34" s="692">
        <v>2</v>
      </c>
      <c r="AM34" s="692">
        <v>2</v>
      </c>
      <c r="AN34" s="692">
        <v>2</v>
      </c>
      <c r="AO34" s="692">
        <v>2</v>
      </c>
      <c r="AP34" s="692">
        <v>2</v>
      </c>
      <c r="AQ34" s="692">
        <v>3</v>
      </c>
      <c r="AR34" s="692">
        <v>3</v>
      </c>
      <c r="AS34" s="685">
        <f t="shared" si="2"/>
        <v>26</v>
      </c>
      <c r="AU34" s="686">
        <f t="shared" si="3"/>
        <v>11</v>
      </c>
      <c r="AV34" s="665">
        <f t="shared" si="7"/>
        <v>23</v>
      </c>
      <c r="AW34" s="687">
        <f t="shared" si="4"/>
        <v>1.0909090909090908</v>
      </c>
      <c r="AX34" s="663">
        <f t="shared" si="5"/>
        <v>26</v>
      </c>
      <c r="AY34" s="687">
        <f t="shared" si="8"/>
        <v>0.13043478260869557</v>
      </c>
      <c r="AZ34" s="687"/>
      <c r="BA34" s="687"/>
      <c r="BC34" s="688">
        <f t="shared" si="6"/>
        <v>4.9315068493150684E-2</v>
      </c>
    </row>
    <row r="35" spans="1:55" x14ac:dyDescent="0.25">
      <c r="C35" s="662" t="s">
        <v>939</v>
      </c>
      <c r="D35" s="663" t="s">
        <v>957</v>
      </c>
      <c r="L35" s="662">
        <v>1</v>
      </c>
      <c r="N35" s="662">
        <v>1</v>
      </c>
      <c r="Q35" s="681">
        <f t="shared" si="0"/>
        <v>2</v>
      </c>
      <c r="R35" s="691"/>
      <c r="W35" s="683">
        <v>0</v>
      </c>
      <c r="X35" s="683">
        <v>0</v>
      </c>
      <c r="Y35" s="683">
        <v>0</v>
      </c>
      <c r="Z35" s="683">
        <v>0</v>
      </c>
      <c r="AA35" s="683">
        <v>0</v>
      </c>
      <c r="AB35" s="683">
        <v>0</v>
      </c>
      <c r="AC35" s="683">
        <v>0</v>
      </c>
      <c r="AD35" s="683">
        <v>0</v>
      </c>
      <c r="AE35" s="684">
        <f t="shared" si="10"/>
        <v>0</v>
      </c>
      <c r="AG35" s="683">
        <v>0</v>
      </c>
      <c r="AH35" s="683">
        <v>0</v>
      </c>
      <c r="AI35" s="683">
        <v>0</v>
      </c>
      <c r="AJ35" s="683">
        <v>0</v>
      </c>
      <c r="AK35" s="683">
        <v>0</v>
      </c>
      <c r="AL35" s="683">
        <v>0</v>
      </c>
      <c r="AM35" s="683">
        <v>0</v>
      </c>
      <c r="AN35" s="683">
        <v>0</v>
      </c>
      <c r="AO35" s="683">
        <v>0</v>
      </c>
      <c r="AP35" s="683">
        <v>0</v>
      </c>
      <c r="AQ35" s="683">
        <v>0</v>
      </c>
      <c r="AR35" s="683">
        <v>0</v>
      </c>
      <c r="AS35" s="685">
        <f t="shared" si="2"/>
        <v>0</v>
      </c>
      <c r="AU35" s="686">
        <f t="shared" si="3"/>
        <v>2</v>
      </c>
      <c r="AV35" s="665">
        <f t="shared" si="7"/>
        <v>0</v>
      </c>
      <c r="AW35" s="687">
        <f t="shared" si="4"/>
        <v>-1</v>
      </c>
      <c r="AX35" s="663">
        <f t="shared" si="5"/>
        <v>0</v>
      </c>
      <c r="AY35" s="687">
        <v>0</v>
      </c>
      <c r="AZ35" s="687"/>
      <c r="BA35" s="687"/>
      <c r="BC35" s="688">
        <f t="shared" si="6"/>
        <v>5.4794520547945206E-3</v>
      </c>
    </row>
    <row r="36" spans="1:55" x14ac:dyDescent="0.25">
      <c r="A36" s="693" t="s">
        <v>965</v>
      </c>
      <c r="B36" s="693"/>
      <c r="C36" s="693"/>
      <c r="D36" s="694"/>
      <c r="E36" s="693">
        <v>16</v>
      </c>
      <c r="F36" s="693">
        <v>14</v>
      </c>
      <c r="G36" s="693">
        <v>20</v>
      </c>
      <c r="H36" s="693">
        <v>18</v>
      </c>
      <c r="I36" s="693">
        <v>11</v>
      </c>
      <c r="J36" s="693">
        <v>14</v>
      </c>
      <c r="K36" s="693">
        <v>14</v>
      </c>
      <c r="L36" s="693">
        <v>12</v>
      </c>
      <c r="M36" s="693">
        <v>12</v>
      </c>
      <c r="N36" s="693">
        <v>14</v>
      </c>
      <c r="O36" s="693">
        <v>20</v>
      </c>
      <c r="P36" s="693">
        <v>13</v>
      </c>
      <c r="Q36" s="695">
        <f t="shared" si="0"/>
        <v>178</v>
      </c>
      <c r="R36" s="695"/>
      <c r="S36" s="693">
        <v>15</v>
      </c>
      <c r="T36" s="693">
        <v>15</v>
      </c>
      <c r="U36" s="693">
        <v>18</v>
      </c>
      <c r="V36" s="693">
        <v>23</v>
      </c>
      <c r="W36" s="696">
        <f>SUM(W24:W35)</f>
        <v>14</v>
      </c>
      <c r="X36" s="696">
        <f t="shared" ref="X36:AD36" si="19">SUM(X24:X35)</f>
        <v>13</v>
      </c>
      <c r="Y36" s="696">
        <f t="shared" si="19"/>
        <v>14</v>
      </c>
      <c r="Z36" s="696">
        <f t="shared" si="19"/>
        <v>16</v>
      </c>
      <c r="AA36" s="696">
        <f t="shared" si="19"/>
        <v>17</v>
      </c>
      <c r="AB36" s="696">
        <f t="shared" si="19"/>
        <v>18</v>
      </c>
      <c r="AC36" s="696">
        <f t="shared" si="19"/>
        <v>17</v>
      </c>
      <c r="AD36" s="696">
        <f t="shared" si="19"/>
        <v>15.95890410958904</v>
      </c>
      <c r="AE36" s="697">
        <f>SUM(S36:AD36)</f>
        <v>195.95890410958904</v>
      </c>
      <c r="AF36" s="694"/>
      <c r="AG36" s="694">
        <f t="shared" ref="AG36:AR36" si="20">SUM(AG24:AG35)</f>
        <v>17</v>
      </c>
      <c r="AH36" s="694">
        <f t="shared" si="20"/>
        <v>16</v>
      </c>
      <c r="AI36" s="694">
        <f t="shared" si="20"/>
        <v>16</v>
      </c>
      <c r="AJ36" s="694">
        <f t="shared" si="20"/>
        <v>17</v>
      </c>
      <c r="AK36" s="694">
        <f t="shared" si="20"/>
        <v>16</v>
      </c>
      <c r="AL36" s="694">
        <f t="shared" si="20"/>
        <v>15</v>
      </c>
      <c r="AM36" s="694">
        <f t="shared" si="20"/>
        <v>16</v>
      </c>
      <c r="AN36" s="694">
        <f t="shared" si="20"/>
        <v>16</v>
      </c>
      <c r="AO36" s="694">
        <f t="shared" si="20"/>
        <v>16</v>
      </c>
      <c r="AP36" s="694">
        <f t="shared" si="20"/>
        <v>17</v>
      </c>
      <c r="AQ36" s="694">
        <f t="shared" si="20"/>
        <v>17</v>
      </c>
      <c r="AR36" s="694">
        <f t="shared" si="20"/>
        <v>17</v>
      </c>
      <c r="AS36" s="694">
        <f>SUM(AS24:AS35)</f>
        <v>196</v>
      </c>
      <c r="AT36" s="694"/>
      <c r="AU36" s="697">
        <f t="shared" si="3"/>
        <v>178</v>
      </c>
      <c r="AV36" s="697">
        <f t="shared" si="7"/>
        <v>195.95890410958904</v>
      </c>
      <c r="AW36" s="698">
        <f t="shared" si="4"/>
        <v>0.10089271971679237</v>
      </c>
      <c r="AX36" s="694">
        <f t="shared" si="5"/>
        <v>196</v>
      </c>
      <c r="AY36" s="698">
        <f t="shared" si="8"/>
        <v>2.0971688220905449E-4</v>
      </c>
      <c r="AZ36" s="698"/>
      <c r="BA36" s="698"/>
      <c r="BC36" s="688">
        <f t="shared" si="6"/>
        <v>0.49589041095890413</v>
      </c>
    </row>
    <row r="37" spans="1:55" x14ac:dyDescent="0.25">
      <c r="A37" s="664" t="s">
        <v>966</v>
      </c>
      <c r="B37" s="662" t="s">
        <v>967</v>
      </c>
      <c r="C37" s="662" t="s">
        <v>932</v>
      </c>
      <c r="D37" s="663"/>
      <c r="E37" s="662">
        <v>2</v>
      </c>
      <c r="G37" s="662">
        <v>2</v>
      </c>
      <c r="H37" s="662">
        <v>2</v>
      </c>
      <c r="I37" s="662">
        <v>8</v>
      </c>
      <c r="J37" s="662">
        <v>10</v>
      </c>
      <c r="K37" s="662">
        <v>5</v>
      </c>
      <c r="L37" s="662">
        <v>1</v>
      </c>
      <c r="M37" s="662">
        <v>5</v>
      </c>
      <c r="N37" s="662">
        <v>2</v>
      </c>
      <c r="O37" s="662">
        <v>8</v>
      </c>
      <c r="P37" s="662">
        <v>5</v>
      </c>
      <c r="Q37" s="681">
        <f t="shared" si="0"/>
        <v>50</v>
      </c>
      <c r="R37" s="691"/>
      <c r="S37" s="662">
        <v>3</v>
      </c>
      <c r="T37" s="662">
        <v>2</v>
      </c>
      <c r="U37" s="662">
        <v>1</v>
      </c>
      <c r="V37" s="662">
        <v>5</v>
      </c>
      <c r="W37" s="683">
        <v>5</v>
      </c>
      <c r="X37" s="683">
        <v>5</v>
      </c>
      <c r="Y37" s="683">
        <v>5</v>
      </c>
      <c r="Z37" s="683">
        <v>5</v>
      </c>
      <c r="AA37" s="683">
        <v>5</v>
      </c>
      <c r="AB37" s="683">
        <v>5</v>
      </c>
      <c r="AC37" s="683">
        <v>5</v>
      </c>
      <c r="AD37" s="683">
        <v>5</v>
      </c>
      <c r="AE37" s="684">
        <f t="shared" si="10"/>
        <v>51</v>
      </c>
      <c r="AG37" s="692">
        <v>5</v>
      </c>
      <c r="AH37" s="692">
        <v>5</v>
      </c>
      <c r="AI37" s="692">
        <v>5</v>
      </c>
      <c r="AJ37" s="692">
        <v>4</v>
      </c>
      <c r="AK37" s="692">
        <v>4</v>
      </c>
      <c r="AL37" s="692">
        <v>4</v>
      </c>
      <c r="AM37" s="692">
        <v>4</v>
      </c>
      <c r="AN37" s="692">
        <v>5</v>
      </c>
      <c r="AO37" s="692">
        <v>4</v>
      </c>
      <c r="AP37" s="692">
        <v>4</v>
      </c>
      <c r="AQ37" s="692">
        <v>4</v>
      </c>
      <c r="AR37" s="692">
        <v>4</v>
      </c>
      <c r="AS37" s="685">
        <f t="shared" si="2"/>
        <v>52</v>
      </c>
      <c r="AU37" s="686">
        <f t="shared" si="3"/>
        <v>50</v>
      </c>
      <c r="AV37" s="665">
        <f t="shared" si="7"/>
        <v>51</v>
      </c>
      <c r="AW37" s="687">
        <f t="shared" si="4"/>
        <v>2.0000000000000018E-2</v>
      </c>
      <c r="AX37" s="663">
        <f t="shared" si="5"/>
        <v>52</v>
      </c>
      <c r="AY37" s="687">
        <f t="shared" si="8"/>
        <v>1.9607843137254832E-2</v>
      </c>
      <c r="AZ37" s="687"/>
      <c r="BA37" s="687"/>
      <c r="BC37" s="688">
        <f t="shared" si="6"/>
        <v>0.15068493150684931</v>
      </c>
    </row>
    <row r="38" spans="1:55" x14ac:dyDescent="0.25">
      <c r="A38" s="693" t="s">
        <v>968</v>
      </c>
      <c r="B38" s="693"/>
      <c r="C38" s="693"/>
      <c r="D38" s="694"/>
      <c r="E38" s="693">
        <v>2</v>
      </c>
      <c r="F38" s="693"/>
      <c r="G38" s="693">
        <v>2</v>
      </c>
      <c r="H38" s="693">
        <v>2</v>
      </c>
      <c r="I38" s="693">
        <v>8</v>
      </c>
      <c r="J38" s="693">
        <v>10</v>
      </c>
      <c r="K38" s="693">
        <v>5</v>
      </c>
      <c r="L38" s="693">
        <v>1</v>
      </c>
      <c r="M38" s="693">
        <v>5</v>
      </c>
      <c r="N38" s="693">
        <v>2</v>
      </c>
      <c r="O38" s="693">
        <v>8</v>
      </c>
      <c r="P38" s="693">
        <v>5</v>
      </c>
      <c r="Q38" s="695">
        <f t="shared" si="0"/>
        <v>50</v>
      </c>
      <c r="R38" s="695"/>
      <c r="S38" s="693">
        <v>3</v>
      </c>
      <c r="T38" s="693">
        <v>2</v>
      </c>
      <c r="U38" s="693">
        <v>1</v>
      </c>
      <c r="V38" s="693">
        <v>5</v>
      </c>
      <c r="W38" s="696">
        <f>W37</f>
        <v>5</v>
      </c>
      <c r="X38" s="696">
        <f t="shared" ref="X38:AD38" si="21">X37</f>
        <v>5</v>
      </c>
      <c r="Y38" s="696">
        <f t="shared" si="21"/>
        <v>5</v>
      </c>
      <c r="Z38" s="696">
        <f t="shared" si="21"/>
        <v>5</v>
      </c>
      <c r="AA38" s="696">
        <f t="shared" si="21"/>
        <v>5</v>
      </c>
      <c r="AB38" s="696">
        <f t="shared" si="21"/>
        <v>5</v>
      </c>
      <c r="AC38" s="696">
        <f t="shared" si="21"/>
        <v>5</v>
      </c>
      <c r="AD38" s="696">
        <f t="shared" si="21"/>
        <v>5</v>
      </c>
      <c r="AE38" s="697">
        <f t="shared" si="10"/>
        <v>51</v>
      </c>
      <c r="AF38" s="694"/>
      <c r="AG38" s="694">
        <f t="shared" ref="AG38:AR38" si="22">AG37</f>
        <v>5</v>
      </c>
      <c r="AH38" s="694">
        <f t="shared" si="22"/>
        <v>5</v>
      </c>
      <c r="AI38" s="694">
        <f t="shared" si="22"/>
        <v>5</v>
      </c>
      <c r="AJ38" s="694">
        <f t="shared" si="22"/>
        <v>4</v>
      </c>
      <c r="AK38" s="694">
        <f t="shared" si="22"/>
        <v>4</v>
      </c>
      <c r="AL38" s="694">
        <f t="shared" si="22"/>
        <v>4</v>
      </c>
      <c r="AM38" s="694">
        <f t="shared" si="22"/>
        <v>4</v>
      </c>
      <c r="AN38" s="694">
        <f t="shared" si="22"/>
        <v>5</v>
      </c>
      <c r="AO38" s="694">
        <f t="shared" si="22"/>
        <v>4</v>
      </c>
      <c r="AP38" s="694">
        <f t="shared" si="22"/>
        <v>4</v>
      </c>
      <c r="AQ38" s="694">
        <f t="shared" si="22"/>
        <v>4</v>
      </c>
      <c r="AR38" s="694">
        <f t="shared" si="22"/>
        <v>4</v>
      </c>
      <c r="AS38" s="694">
        <f>AS37</f>
        <v>52</v>
      </c>
      <c r="AT38" s="694"/>
      <c r="AU38" s="697">
        <f t="shared" si="3"/>
        <v>50</v>
      </c>
      <c r="AV38" s="697">
        <f t="shared" si="7"/>
        <v>51</v>
      </c>
      <c r="AW38" s="698">
        <f t="shared" si="4"/>
        <v>2.0000000000000018E-2</v>
      </c>
      <c r="AX38" s="694">
        <f t="shared" si="5"/>
        <v>52</v>
      </c>
      <c r="AY38" s="698">
        <f t="shared" si="8"/>
        <v>1.9607843137254832E-2</v>
      </c>
      <c r="AZ38" s="698"/>
      <c r="BA38" s="698"/>
      <c r="BC38" s="688">
        <f t="shared" si="6"/>
        <v>0.15068493150684931</v>
      </c>
    </row>
    <row r="39" spans="1:55" x14ac:dyDescent="0.25">
      <c r="A39" s="664" t="s">
        <v>747</v>
      </c>
      <c r="B39" s="662" t="s">
        <v>969</v>
      </c>
      <c r="C39" s="662" t="s">
        <v>932</v>
      </c>
      <c r="D39" s="663"/>
      <c r="E39" s="662">
        <v>16</v>
      </c>
      <c r="F39" s="662">
        <v>24</v>
      </c>
      <c r="G39" s="662">
        <v>8</v>
      </c>
      <c r="H39" s="662">
        <v>18</v>
      </c>
      <c r="I39" s="662">
        <v>30</v>
      </c>
      <c r="J39" s="662">
        <v>25</v>
      </c>
      <c r="K39" s="662">
        <v>25</v>
      </c>
      <c r="L39" s="662">
        <v>32</v>
      </c>
      <c r="M39" s="662">
        <v>23</v>
      </c>
      <c r="N39" s="662">
        <v>43</v>
      </c>
      <c r="O39" s="662">
        <v>42</v>
      </c>
      <c r="P39" s="662">
        <v>41</v>
      </c>
      <c r="Q39" s="681">
        <f t="shared" si="0"/>
        <v>327</v>
      </c>
      <c r="R39" s="691"/>
      <c r="S39" s="662">
        <v>45</v>
      </c>
      <c r="T39" s="662">
        <v>52</v>
      </c>
      <c r="U39" s="662">
        <v>31</v>
      </c>
      <c r="V39" s="662">
        <v>37</v>
      </c>
      <c r="W39" s="683">
        <v>30</v>
      </c>
      <c r="X39" s="683">
        <v>28</v>
      </c>
      <c r="Y39" s="683">
        <v>28</v>
      </c>
      <c r="Z39" s="683">
        <v>28</v>
      </c>
      <c r="AA39" s="683">
        <v>28</v>
      </c>
      <c r="AB39" s="683">
        <v>35</v>
      </c>
      <c r="AC39" s="683">
        <v>30</v>
      </c>
      <c r="AD39" s="683">
        <v>30</v>
      </c>
      <c r="AE39" s="684">
        <f t="shared" si="10"/>
        <v>402</v>
      </c>
      <c r="AG39" s="692">
        <v>34</v>
      </c>
      <c r="AH39" s="692">
        <v>34</v>
      </c>
      <c r="AI39" s="692">
        <v>34</v>
      </c>
      <c r="AJ39" s="692">
        <v>34</v>
      </c>
      <c r="AK39" s="692">
        <v>34</v>
      </c>
      <c r="AL39" s="692">
        <v>34</v>
      </c>
      <c r="AM39" s="692">
        <v>34</v>
      </c>
      <c r="AN39" s="692">
        <v>34</v>
      </c>
      <c r="AO39" s="692">
        <v>34</v>
      </c>
      <c r="AP39" s="692">
        <v>34</v>
      </c>
      <c r="AQ39" s="692">
        <v>34</v>
      </c>
      <c r="AR39" s="692">
        <v>34</v>
      </c>
      <c r="AS39" s="685">
        <f t="shared" si="2"/>
        <v>408</v>
      </c>
      <c r="AU39" s="686">
        <f t="shared" si="3"/>
        <v>327</v>
      </c>
      <c r="AV39" s="665">
        <f t="shared" si="7"/>
        <v>402</v>
      </c>
      <c r="AW39" s="687">
        <f t="shared" si="4"/>
        <v>0.22935779816513757</v>
      </c>
      <c r="AX39" s="663">
        <f t="shared" si="5"/>
        <v>408</v>
      </c>
      <c r="AY39" s="687">
        <f t="shared" si="8"/>
        <v>1.4925373134328401E-2</v>
      </c>
      <c r="AZ39" s="687"/>
      <c r="BA39" s="687"/>
      <c r="BC39" s="688">
        <f t="shared" si="6"/>
        <v>1.167123287671233</v>
      </c>
    </row>
    <row r="40" spans="1:55" x14ac:dyDescent="0.25">
      <c r="C40" s="662" t="s">
        <v>939</v>
      </c>
      <c r="D40" s="663"/>
      <c r="G40" s="662">
        <v>1</v>
      </c>
      <c r="K40" s="662">
        <v>2</v>
      </c>
      <c r="Q40" s="681">
        <f t="shared" si="0"/>
        <v>3</v>
      </c>
      <c r="R40" s="691"/>
      <c r="S40" s="662">
        <v>3</v>
      </c>
      <c r="T40" s="662">
        <v>1</v>
      </c>
      <c r="U40" s="662">
        <v>1</v>
      </c>
      <c r="W40" s="683">
        <v>0</v>
      </c>
      <c r="X40" s="683">
        <v>0</v>
      </c>
      <c r="Y40" s="683">
        <v>0</v>
      </c>
      <c r="Z40" s="683">
        <v>0</v>
      </c>
      <c r="AA40" s="683">
        <v>0</v>
      </c>
      <c r="AB40" s="683">
        <v>0</v>
      </c>
      <c r="AC40" s="683">
        <v>0</v>
      </c>
      <c r="AD40" s="683">
        <v>0</v>
      </c>
      <c r="AE40" s="684">
        <f t="shared" si="10"/>
        <v>5</v>
      </c>
      <c r="AG40" s="692">
        <v>1</v>
      </c>
      <c r="AH40" s="683">
        <v>0</v>
      </c>
      <c r="AI40" s="683">
        <v>0</v>
      </c>
      <c r="AJ40" s="683">
        <v>0</v>
      </c>
      <c r="AK40" s="692">
        <v>1</v>
      </c>
      <c r="AL40" s="683">
        <v>0</v>
      </c>
      <c r="AM40" s="683">
        <v>0</v>
      </c>
      <c r="AN40" s="683">
        <v>0</v>
      </c>
      <c r="AO40" s="692">
        <v>1</v>
      </c>
      <c r="AP40" s="683">
        <v>0</v>
      </c>
      <c r="AQ40" s="683">
        <v>0</v>
      </c>
      <c r="AR40" s="683">
        <v>0</v>
      </c>
      <c r="AS40" s="685">
        <f t="shared" si="2"/>
        <v>3</v>
      </c>
      <c r="AU40" s="686">
        <f t="shared" si="3"/>
        <v>3</v>
      </c>
      <c r="AV40" s="665">
        <f t="shared" si="7"/>
        <v>5</v>
      </c>
      <c r="AW40" s="687">
        <f t="shared" si="4"/>
        <v>0.66666666666666674</v>
      </c>
      <c r="AX40" s="663">
        <f t="shared" si="5"/>
        <v>3</v>
      </c>
      <c r="AY40" s="687">
        <f t="shared" si="8"/>
        <v>-0.4</v>
      </c>
      <c r="AZ40" s="687"/>
      <c r="BA40" s="687"/>
      <c r="BC40" s="688">
        <f t="shared" si="6"/>
        <v>1.9178082191780823E-2</v>
      </c>
    </row>
    <row r="41" spans="1:55" x14ac:dyDescent="0.25">
      <c r="B41" s="662" t="s">
        <v>970</v>
      </c>
      <c r="C41" s="662" t="s">
        <v>932</v>
      </c>
      <c r="D41" s="663"/>
      <c r="F41" s="662">
        <v>1</v>
      </c>
      <c r="G41" s="662">
        <v>1</v>
      </c>
      <c r="J41" s="662">
        <v>3</v>
      </c>
      <c r="K41" s="662">
        <v>1</v>
      </c>
      <c r="M41" s="662">
        <v>1</v>
      </c>
      <c r="Q41" s="681">
        <f t="shared" si="0"/>
        <v>7</v>
      </c>
      <c r="R41" s="691"/>
      <c r="T41" s="662">
        <v>2</v>
      </c>
      <c r="W41" s="683">
        <v>0</v>
      </c>
      <c r="X41" s="683">
        <v>0</v>
      </c>
      <c r="Y41" s="683">
        <v>2</v>
      </c>
      <c r="Z41" s="683">
        <v>0</v>
      </c>
      <c r="AA41" s="683">
        <v>0</v>
      </c>
      <c r="AB41" s="683">
        <v>3</v>
      </c>
      <c r="AC41" s="683">
        <v>0</v>
      </c>
      <c r="AD41" s="683">
        <v>0</v>
      </c>
      <c r="AE41" s="684">
        <f t="shared" si="10"/>
        <v>7</v>
      </c>
      <c r="AG41" s="683">
        <v>0</v>
      </c>
      <c r="AH41" s="692">
        <v>2</v>
      </c>
      <c r="AI41" s="683">
        <v>0</v>
      </c>
      <c r="AJ41" s="683">
        <v>0</v>
      </c>
      <c r="AK41" s="683">
        <v>0</v>
      </c>
      <c r="AL41" s="692">
        <v>2</v>
      </c>
      <c r="AM41" s="683">
        <v>0</v>
      </c>
      <c r="AN41" s="683">
        <v>0</v>
      </c>
      <c r="AO41" s="692">
        <v>3</v>
      </c>
      <c r="AP41" s="683">
        <v>0</v>
      </c>
      <c r="AQ41" s="683">
        <v>0</v>
      </c>
      <c r="AR41" s="683">
        <v>0</v>
      </c>
      <c r="AS41" s="685">
        <f t="shared" si="2"/>
        <v>7</v>
      </c>
      <c r="AU41" s="686">
        <f t="shared" si="3"/>
        <v>7</v>
      </c>
      <c r="AV41" s="665">
        <f t="shared" si="7"/>
        <v>7</v>
      </c>
      <c r="AW41" s="687">
        <f t="shared" si="4"/>
        <v>0</v>
      </c>
      <c r="AX41" s="663">
        <f t="shared" si="5"/>
        <v>7</v>
      </c>
      <c r="AY41" s="687">
        <f t="shared" si="8"/>
        <v>0</v>
      </c>
      <c r="AZ41" s="687"/>
      <c r="BA41" s="687"/>
      <c r="BC41" s="688">
        <f t="shared" si="6"/>
        <v>1.9178082191780823E-2</v>
      </c>
    </row>
    <row r="42" spans="1:55" x14ac:dyDescent="0.25">
      <c r="C42" s="662" t="s">
        <v>939</v>
      </c>
      <c r="D42" s="663"/>
      <c r="E42" s="662">
        <v>24</v>
      </c>
      <c r="F42" s="662">
        <v>28</v>
      </c>
      <c r="G42" s="662">
        <v>22</v>
      </c>
      <c r="H42" s="662">
        <v>12</v>
      </c>
      <c r="I42" s="662">
        <v>25</v>
      </c>
      <c r="J42" s="662">
        <v>20</v>
      </c>
      <c r="K42" s="662">
        <v>39</v>
      </c>
      <c r="L42" s="662">
        <v>9</v>
      </c>
      <c r="M42" s="662">
        <v>32</v>
      </c>
      <c r="N42" s="662">
        <v>20</v>
      </c>
      <c r="O42" s="662">
        <v>18</v>
      </c>
      <c r="P42" s="662">
        <v>26</v>
      </c>
      <c r="Q42" s="681">
        <f t="shared" si="0"/>
        <v>275</v>
      </c>
      <c r="R42" s="691"/>
      <c r="S42" s="662">
        <v>16</v>
      </c>
      <c r="T42" s="662">
        <v>33</v>
      </c>
      <c r="U42" s="662">
        <v>19</v>
      </c>
      <c r="V42" s="662">
        <v>24</v>
      </c>
      <c r="W42" s="683">
        <v>23</v>
      </c>
      <c r="X42" s="683">
        <v>23</v>
      </c>
      <c r="Y42" s="683">
        <v>23</v>
      </c>
      <c r="Z42" s="683">
        <v>23</v>
      </c>
      <c r="AA42" s="683">
        <v>23</v>
      </c>
      <c r="AB42" s="683">
        <v>23</v>
      </c>
      <c r="AC42" s="683">
        <v>23</v>
      </c>
      <c r="AD42" s="683">
        <v>23</v>
      </c>
      <c r="AE42" s="684">
        <f t="shared" si="10"/>
        <v>276</v>
      </c>
      <c r="AG42" s="692">
        <v>23</v>
      </c>
      <c r="AH42" s="692">
        <v>23</v>
      </c>
      <c r="AI42" s="692">
        <v>23</v>
      </c>
      <c r="AJ42" s="692">
        <v>23</v>
      </c>
      <c r="AK42" s="692">
        <v>23</v>
      </c>
      <c r="AL42" s="692">
        <v>23</v>
      </c>
      <c r="AM42" s="692">
        <v>23</v>
      </c>
      <c r="AN42" s="692">
        <v>23</v>
      </c>
      <c r="AO42" s="692">
        <v>23</v>
      </c>
      <c r="AP42" s="692">
        <v>23</v>
      </c>
      <c r="AQ42" s="692">
        <v>23</v>
      </c>
      <c r="AR42" s="692">
        <v>23</v>
      </c>
      <c r="AS42" s="685">
        <f t="shared" si="2"/>
        <v>276</v>
      </c>
      <c r="AU42" s="686">
        <f t="shared" si="3"/>
        <v>275</v>
      </c>
      <c r="AV42" s="665">
        <f t="shared" si="7"/>
        <v>276</v>
      </c>
      <c r="AW42" s="687">
        <f t="shared" si="4"/>
        <v>3.6363636363636598E-3</v>
      </c>
      <c r="AX42" s="663">
        <f t="shared" si="5"/>
        <v>276</v>
      </c>
      <c r="AY42" s="687">
        <f t="shared" si="8"/>
        <v>0</v>
      </c>
      <c r="AZ42" s="687"/>
      <c r="BA42" s="687"/>
      <c r="BC42" s="688">
        <f t="shared" si="6"/>
        <v>0.76986301369863008</v>
      </c>
    </row>
    <row r="43" spans="1:55" x14ac:dyDescent="0.25">
      <c r="C43" s="662" t="s">
        <v>961</v>
      </c>
      <c r="D43" s="663"/>
      <c r="E43" s="662">
        <v>1</v>
      </c>
      <c r="H43" s="662">
        <v>1</v>
      </c>
      <c r="K43" s="662">
        <v>3</v>
      </c>
      <c r="Q43" s="681">
        <f t="shared" si="0"/>
        <v>5</v>
      </c>
      <c r="R43" s="691"/>
      <c r="W43" s="683">
        <v>0</v>
      </c>
      <c r="X43" s="683">
        <v>0</v>
      </c>
      <c r="Y43" s="683">
        <v>0</v>
      </c>
      <c r="Z43" s="683">
        <v>0</v>
      </c>
      <c r="AA43" s="683">
        <v>0</v>
      </c>
      <c r="AB43" s="683">
        <v>0</v>
      </c>
      <c r="AC43" s="683">
        <v>0</v>
      </c>
      <c r="AD43" s="683">
        <v>0</v>
      </c>
      <c r="AE43" s="684">
        <f t="shared" si="10"/>
        <v>0</v>
      </c>
      <c r="AG43" s="683">
        <v>0</v>
      </c>
      <c r="AH43" s="683">
        <v>0</v>
      </c>
      <c r="AI43" s="683">
        <v>0</v>
      </c>
      <c r="AJ43" s="683">
        <v>0</v>
      </c>
      <c r="AK43" s="683">
        <v>0</v>
      </c>
      <c r="AL43" s="683">
        <v>0</v>
      </c>
      <c r="AM43" s="683">
        <v>0</v>
      </c>
      <c r="AN43" s="683">
        <v>0</v>
      </c>
      <c r="AO43" s="683">
        <v>0</v>
      </c>
      <c r="AP43" s="683">
        <v>0</v>
      </c>
      <c r="AQ43" s="683">
        <v>0</v>
      </c>
      <c r="AR43" s="683">
        <v>0</v>
      </c>
      <c r="AS43" s="685">
        <f t="shared" si="2"/>
        <v>0</v>
      </c>
      <c r="AU43" s="686">
        <f t="shared" si="3"/>
        <v>5</v>
      </c>
      <c r="AV43" s="665">
        <f t="shared" si="7"/>
        <v>0</v>
      </c>
      <c r="AW43" s="687">
        <f t="shared" si="4"/>
        <v>-1</v>
      </c>
      <c r="AX43" s="663">
        <f t="shared" si="5"/>
        <v>0</v>
      </c>
      <c r="AY43" s="687">
        <v>0</v>
      </c>
      <c r="AZ43" s="687"/>
      <c r="BA43" s="687"/>
      <c r="BC43" s="688">
        <f t="shared" si="6"/>
        <v>8.21917808219178E-3</v>
      </c>
    </row>
    <row r="44" spans="1:55" x14ac:dyDescent="0.25">
      <c r="B44" s="662" t="s">
        <v>971</v>
      </c>
      <c r="C44" s="662" t="s">
        <v>932</v>
      </c>
      <c r="D44" s="663" t="s">
        <v>972</v>
      </c>
      <c r="F44" s="662">
        <v>1</v>
      </c>
      <c r="G44" s="662">
        <v>2</v>
      </c>
      <c r="H44" s="662">
        <v>1</v>
      </c>
      <c r="I44" s="662">
        <v>3</v>
      </c>
      <c r="K44" s="662">
        <v>4</v>
      </c>
      <c r="L44" s="662">
        <v>2</v>
      </c>
      <c r="M44" s="662">
        <v>3</v>
      </c>
      <c r="N44" s="662">
        <v>3</v>
      </c>
      <c r="O44" s="662">
        <v>2</v>
      </c>
      <c r="P44" s="662">
        <v>1</v>
      </c>
      <c r="Q44" s="681">
        <f t="shared" si="0"/>
        <v>22</v>
      </c>
      <c r="R44" s="691"/>
      <c r="S44" s="662">
        <v>3</v>
      </c>
      <c r="T44" s="662">
        <v>1</v>
      </c>
      <c r="U44" s="662">
        <v>2</v>
      </c>
      <c r="V44" s="662">
        <v>1</v>
      </c>
      <c r="W44" s="683">
        <v>0</v>
      </c>
      <c r="X44" s="683">
        <v>0</v>
      </c>
      <c r="Y44" s="683">
        <v>0</v>
      </c>
      <c r="Z44" s="683">
        <v>0</v>
      </c>
      <c r="AA44" s="683">
        <v>0</v>
      </c>
      <c r="AB44" s="683">
        <v>0</v>
      </c>
      <c r="AC44" s="683">
        <v>0</v>
      </c>
      <c r="AD44" s="683">
        <v>0</v>
      </c>
      <c r="AE44" s="684">
        <f t="shared" si="10"/>
        <v>7</v>
      </c>
      <c r="AG44" s="692">
        <v>2</v>
      </c>
      <c r="AH44" s="692">
        <v>2</v>
      </c>
      <c r="AI44" s="692">
        <v>2</v>
      </c>
      <c r="AJ44" s="692">
        <v>2</v>
      </c>
      <c r="AK44" s="692">
        <v>2</v>
      </c>
      <c r="AL44" s="692">
        <v>2</v>
      </c>
      <c r="AM44" s="692">
        <v>2</v>
      </c>
      <c r="AN44" s="692">
        <v>2</v>
      </c>
      <c r="AO44" s="692">
        <v>2</v>
      </c>
      <c r="AP44" s="692">
        <v>2</v>
      </c>
      <c r="AQ44" s="692">
        <v>2</v>
      </c>
      <c r="AR44" s="692">
        <v>2</v>
      </c>
      <c r="AS44" s="685">
        <f t="shared" si="2"/>
        <v>24</v>
      </c>
      <c r="AU44" s="686">
        <f t="shared" si="3"/>
        <v>22</v>
      </c>
      <c r="AV44" s="665">
        <f t="shared" si="7"/>
        <v>7</v>
      </c>
      <c r="AW44" s="687">
        <f t="shared" si="4"/>
        <v>-0.68181818181818188</v>
      </c>
      <c r="AX44" s="663">
        <f t="shared" si="5"/>
        <v>24</v>
      </c>
      <c r="AY44" s="687">
        <f t="shared" si="8"/>
        <v>2.4285714285714284</v>
      </c>
      <c r="AZ44" s="687"/>
      <c r="BA44" s="687"/>
      <c r="BC44" s="688">
        <f t="shared" si="6"/>
        <v>6.8493150684931503E-2</v>
      </c>
    </row>
    <row r="45" spans="1:55" x14ac:dyDescent="0.25">
      <c r="C45" s="662" t="s">
        <v>939</v>
      </c>
      <c r="D45" s="663"/>
      <c r="E45" s="662">
        <v>5</v>
      </c>
      <c r="F45" s="662">
        <v>9</v>
      </c>
      <c r="G45" s="662">
        <v>13</v>
      </c>
      <c r="H45" s="662">
        <v>7</v>
      </c>
      <c r="I45" s="662">
        <v>5</v>
      </c>
      <c r="J45" s="662">
        <v>5</v>
      </c>
      <c r="K45" s="662">
        <v>12</v>
      </c>
      <c r="L45" s="662">
        <v>10</v>
      </c>
      <c r="M45" s="662">
        <v>6</v>
      </c>
      <c r="N45" s="662">
        <v>10</v>
      </c>
      <c r="O45" s="662">
        <v>11</v>
      </c>
      <c r="P45" s="662">
        <v>10</v>
      </c>
      <c r="Q45" s="681">
        <f t="shared" si="0"/>
        <v>103</v>
      </c>
      <c r="R45" s="691"/>
      <c r="S45" s="662">
        <v>9</v>
      </c>
      <c r="T45" s="662">
        <v>11</v>
      </c>
      <c r="U45" s="662">
        <v>10</v>
      </c>
      <c r="V45" s="662">
        <v>1</v>
      </c>
      <c r="W45" s="683">
        <v>0</v>
      </c>
      <c r="X45" s="683">
        <v>0</v>
      </c>
      <c r="Y45" s="683">
        <v>0</v>
      </c>
      <c r="Z45" s="683">
        <v>2</v>
      </c>
      <c r="AA45" s="683">
        <v>6</v>
      </c>
      <c r="AB45" s="683">
        <v>6</v>
      </c>
      <c r="AC45" s="683">
        <v>6</v>
      </c>
      <c r="AD45" s="683">
        <v>6</v>
      </c>
      <c r="AE45" s="684">
        <f t="shared" si="10"/>
        <v>57</v>
      </c>
      <c r="AG45" s="692">
        <v>10</v>
      </c>
      <c r="AH45" s="692">
        <v>10</v>
      </c>
      <c r="AI45" s="692">
        <v>10</v>
      </c>
      <c r="AJ45" s="692">
        <v>10</v>
      </c>
      <c r="AK45" s="692">
        <v>10</v>
      </c>
      <c r="AL45" s="692">
        <v>10</v>
      </c>
      <c r="AM45" s="692">
        <v>10</v>
      </c>
      <c r="AN45" s="692">
        <v>10</v>
      </c>
      <c r="AO45" s="692">
        <v>10</v>
      </c>
      <c r="AP45" s="692">
        <v>10</v>
      </c>
      <c r="AQ45" s="692">
        <v>10</v>
      </c>
      <c r="AR45" s="692">
        <v>10</v>
      </c>
      <c r="AS45" s="685">
        <f t="shared" si="2"/>
        <v>120</v>
      </c>
      <c r="AU45" s="686">
        <f t="shared" si="3"/>
        <v>103</v>
      </c>
      <c r="AV45" s="665">
        <f t="shared" si="7"/>
        <v>57</v>
      </c>
      <c r="AW45" s="687">
        <f t="shared" si="4"/>
        <v>-0.44660194174757284</v>
      </c>
      <c r="AX45" s="663">
        <f t="shared" si="5"/>
        <v>120</v>
      </c>
      <c r="AY45" s="687">
        <f t="shared" si="8"/>
        <v>1.1052631578947367</v>
      </c>
      <c r="AZ45" s="687"/>
      <c r="BA45" s="687"/>
      <c r="BC45" s="688">
        <f t="shared" si="6"/>
        <v>0.27397260273972601</v>
      </c>
    </row>
    <row r="46" spans="1:55" x14ac:dyDescent="0.25">
      <c r="C46" s="662" t="s">
        <v>961</v>
      </c>
      <c r="D46" s="663"/>
      <c r="E46" s="662">
        <v>3</v>
      </c>
      <c r="F46" s="662">
        <v>5</v>
      </c>
      <c r="G46" s="662">
        <v>6</v>
      </c>
      <c r="H46" s="662">
        <v>15</v>
      </c>
      <c r="I46" s="662">
        <v>9</v>
      </c>
      <c r="J46" s="662">
        <v>5</v>
      </c>
      <c r="K46" s="662">
        <v>12</v>
      </c>
      <c r="L46" s="662">
        <v>11</v>
      </c>
      <c r="M46" s="662">
        <v>11</v>
      </c>
      <c r="N46" s="662">
        <v>6</v>
      </c>
      <c r="O46" s="662">
        <v>12</v>
      </c>
      <c r="P46" s="662">
        <v>2</v>
      </c>
      <c r="Q46" s="681">
        <f t="shared" si="0"/>
        <v>97</v>
      </c>
      <c r="R46" s="691"/>
      <c r="S46" s="662">
        <v>11</v>
      </c>
      <c r="T46" s="662">
        <v>9</v>
      </c>
      <c r="U46" s="662">
        <v>11</v>
      </c>
      <c r="V46" s="662">
        <v>1</v>
      </c>
      <c r="W46" s="683">
        <v>0</v>
      </c>
      <c r="X46" s="683">
        <v>0</v>
      </c>
      <c r="Y46" s="683">
        <v>0</v>
      </c>
      <c r="Z46" s="683">
        <v>2</v>
      </c>
      <c r="AA46" s="683">
        <v>6</v>
      </c>
      <c r="AB46" s="683">
        <v>6</v>
      </c>
      <c r="AC46" s="683">
        <v>6</v>
      </c>
      <c r="AD46" s="683">
        <v>6</v>
      </c>
      <c r="AE46" s="684">
        <f t="shared" si="10"/>
        <v>58</v>
      </c>
      <c r="AG46" s="692">
        <v>10</v>
      </c>
      <c r="AH46" s="692">
        <v>10</v>
      </c>
      <c r="AI46" s="692">
        <v>10</v>
      </c>
      <c r="AJ46" s="692">
        <v>10</v>
      </c>
      <c r="AK46" s="692">
        <v>10</v>
      </c>
      <c r="AL46" s="692">
        <v>10</v>
      </c>
      <c r="AM46" s="692">
        <v>10</v>
      </c>
      <c r="AN46" s="692">
        <v>10</v>
      </c>
      <c r="AO46" s="692">
        <v>10</v>
      </c>
      <c r="AP46" s="692">
        <v>10</v>
      </c>
      <c r="AQ46" s="692">
        <v>10</v>
      </c>
      <c r="AR46" s="692">
        <v>10</v>
      </c>
      <c r="AS46" s="685">
        <f>SUM(AG46:AR46)</f>
        <v>120</v>
      </c>
      <c r="AU46" s="686">
        <f t="shared" si="3"/>
        <v>97</v>
      </c>
      <c r="AV46" s="665">
        <f t="shared" si="7"/>
        <v>58</v>
      </c>
      <c r="AW46" s="687">
        <f t="shared" si="4"/>
        <v>-0.40206185567010311</v>
      </c>
      <c r="AX46" s="663">
        <f t="shared" si="5"/>
        <v>120</v>
      </c>
      <c r="AY46" s="687">
        <f t="shared" si="8"/>
        <v>1.0689655172413794</v>
      </c>
      <c r="AZ46" s="687"/>
      <c r="BA46" s="687"/>
      <c r="BC46" s="688">
        <f t="shared" si="6"/>
        <v>0.27397260273972601</v>
      </c>
    </row>
    <row r="47" spans="1:55" x14ac:dyDescent="0.25">
      <c r="B47" s="662" t="s">
        <v>973</v>
      </c>
      <c r="C47" s="662" t="s">
        <v>932</v>
      </c>
      <c r="D47" s="663"/>
      <c r="Q47" s="681">
        <f t="shared" si="0"/>
        <v>0</v>
      </c>
      <c r="R47" s="691"/>
      <c r="T47" s="662">
        <v>1</v>
      </c>
      <c r="W47" s="683">
        <v>0</v>
      </c>
      <c r="X47" s="683">
        <v>0</v>
      </c>
      <c r="Y47" s="683">
        <v>0</v>
      </c>
      <c r="Z47" s="683">
        <v>0</v>
      </c>
      <c r="AA47" s="683">
        <v>0</v>
      </c>
      <c r="AB47" s="683">
        <v>0</v>
      </c>
      <c r="AC47" s="683">
        <v>0</v>
      </c>
      <c r="AD47" s="683">
        <v>0</v>
      </c>
      <c r="AE47" s="684">
        <f t="shared" si="10"/>
        <v>1</v>
      </c>
      <c r="AG47" s="692">
        <v>0</v>
      </c>
      <c r="AH47" s="692">
        <v>0</v>
      </c>
      <c r="AI47" s="692">
        <v>0</v>
      </c>
      <c r="AJ47" s="692">
        <v>0</v>
      </c>
      <c r="AK47" s="692">
        <v>0</v>
      </c>
      <c r="AL47" s="692">
        <v>0</v>
      </c>
      <c r="AM47" s="692">
        <v>0</v>
      </c>
      <c r="AN47" s="692">
        <v>0</v>
      </c>
      <c r="AO47" s="692">
        <v>0</v>
      </c>
      <c r="AP47" s="692">
        <v>0</v>
      </c>
      <c r="AQ47" s="692">
        <v>0</v>
      </c>
      <c r="AR47" s="692">
        <v>0</v>
      </c>
      <c r="AS47" s="685">
        <f t="shared" si="2"/>
        <v>0</v>
      </c>
      <c r="AU47" s="686">
        <f t="shared" si="3"/>
        <v>0</v>
      </c>
      <c r="AV47" s="665">
        <f t="shared" si="7"/>
        <v>1</v>
      </c>
      <c r="AW47" s="687">
        <v>0</v>
      </c>
      <c r="AX47" s="663">
        <f t="shared" si="5"/>
        <v>0</v>
      </c>
      <c r="AY47" s="687">
        <f t="shared" si="8"/>
        <v>-1</v>
      </c>
      <c r="AZ47" s="687"/>
      <c r="BA47" s="687"/>
      <c r="BC47" s="688">
        <f t="shared" si="6"/>
        <v>2.7397260273972603E-3</v>
      </c>
    </row>
    <row r="48" spans="1:55" x14ac:dyDescent="0.25">
      <c r="B48" s="662" t="s">
        <v>974</v>
      </c>
      <c r="C48" s="662" t="s">
        <v>932</v>
      </c>
      <c r="D48" s="663"/>
      <c r="E48" s="662">
        <v>1</v>
      </c>
      <c r="F48" s="662">
        <v>2</v>
      </c>
      <c r="M48" s="662">
        <v>1</v>
      </c>
      <c r="O48" s="662">
        <v>1</v>
      </c>
      <c r="Q48" s="681">
        <f t="shared" si="0"/>
        <v>5</v>
      </c>
      <c r="R48" s="691"/>
      <c r="W48" s="683">
        <v>0</v>
      </c>
      <c r="X48" s="683">
        <v>0</v>
      </c>
      <c r="Y48" s="683">
        <v>0</v>
      </c>
      <c r="Z48" s="683">
        <v>0</v>
      </c>
      <c r="AA48" s="683">
        <v>0</v>
      </c>
      <c r="AB48" s="683">
        <v>0</v>
      </c>
      <c r="AC48" s="683">
        <v>0</v>
      </c>
      <c r="AD48" s="683">
        <v>0</v>
      </c>
      <c r="AE48" s="684">
        <f t="shared" si="10"/>
        <v>0</v>
      </c>
      <c r="AG48" s="692">
        <v>0</v>
      </c>
      <c r="AH48" s="692">
        <v>0</v>
      </c>
      <c r="AI48" s="692">
        <v>0</v>
      </c>
      <c r="AJ48" s="692">
        <v>0</v>
      </c>
      <c r="AK48" s="692">
        <v>0</v>
      </c>
      <c r="AL48" s="692">
        <v>0</v>
      </c>
      <c r="AM48" s="692">
        <v>0</v>
      </c>
      <c r="AN48" s="692">
        <v>0</v>
      </c>
      <c r="AO48" s="692">
        <v>0</v>
      </c>
      <c r="AP48" s="692">
        <v>0</v>
      </c>
      <c r="AQ48" s="692">
        <v>0</v>
      </c>
      <c r="AR48" s="692">
        <v>0</v>
      </c>
      <c r="AS48" s="685">
        <f t="shared" si="2"/>
        <v>0</v>
      </c>
      <c r="AU48" s="686">
        <f t="shared" si="3"/>
        <v>5</v>
      </c>
      <c r="AV48" s="665">
        <f t="shared" si="7"/>
        <v>0</v>
      </c>
      <c r="AW48" s="687">
        <f t="shared" si="4"/>
        <v>-1</v>
      </c>
      <c r="AX48" s="663">
        <f t="shared" si="5"/>
        <v>0</v>
      </c>
      <c r="AY48" s="687">
        <v>0</v>
      </c>
      <c r="AZ48" s="687"/>
      <c r="BA48" s="687"/>
      <c r="BC48" s="688">
        <f t="shared" si="6"/>
        <v>5.4794520547945206E-3</v>
      </c>
    </row>
    <row r="49" spans="2:55" x14ac:dyDescent="0.25">
      <c r="C49" s="662" t="s">
        <v>939</v>
      </c>
      <c r="D49" s="663"/>
      <c r="E49" s="662">
        <v>12</v>
      </c>
      <c r="F49" s="662">
        <v>12</v>
      </c>
      <c r="G49" s="662">
        <v>18</v>
      </c>
      <c r="H49" s="662">
        <v>10</v>
      </c>
      <c r="I49" s="662">
        <v>28</v>
      </c>
      <c r="J49" s="662">
        <v>8</v>
      </c>
      <c r="K49" s="662">
        <v>18</v>
      </c>
      <c r="L49" s="662">
        <v>23</v>
      </c>
      <c r="M49" s="662">
        <v>20</v>
      </c>
      <c r="N49" s="662">
        <v>21</v>
      </c>
      <c r="O49" s="662">
        <v>23</v>
      </c>
      <c r="P49" s="662">
        <v>16</v>
      </c>
      <c r="Q49" s="681">
        <f t="shared" si="0"/>
        <v>209</v>
      </c>
      <c r="R49" s="691"/>
      <c r="S49" s="662">
        <v>19</v>
      </c>
      <c r="T49" s="662">
        <v>17</v>
      </c>
      <c r="U49" s="662">
        <v>25</v>
      </c>
      <c r="V49" s="662">
        <v>24</v>
      </c>
      <c r="W49" s="683">
        <v>20</v>
      </c>
      <c r="X49" s="683">
        <v>10</v>
      </c>
      <c r="Y49" s="683">
        <v>20</v>
      </c>
      <c r="Z49" s="683">
        <v>16</v>
      </c>
      <c r="AA49" s="683">
        <v>16</v>
      </c>
      <c r="AB49" s="683">
        <v>16</v>
      </c>
      <c r="AC49" s="683">
        <v>16</v>
      </c>
      <c r="AD49" s="683">
        <v>16</v>
      </c>
      <c r="AE49" s="684">
        <f t="shared" si="10"/>
        <v>215</v>
      </c>
      <c r="AG49" s="692">
        <v>19</v>
      </c>
      <c r="AH49" s="692">
        <v>19</v>
      </c>
      <c r="AI49" s="692">
        <v>19</v>
      </c>
      <c r="AJ49" s="692">
        <v>19</v>
      </c>
      <c r="AK49" s="692">
        <v>19</v>
      </c>
      <c r="AL49" s="692">
        <v>10</v>
      </c>
      <c r="AM49" s="692">
        <v>20</v>
      </c>
      <c r="AN49" s="692">
        <v>20</v>
      </c>
      <c r="AO49" s="692">
        <v>19</v>
      </c>
      <c r="AP49" s="692">
        <v>19</v>
      </c>
      <c r="AQ49" s="692">
        <v>19</v>
      </c>
      <c r="AR49" s="692">
        <v>19</v>
      </c>
      <c r="AS49" s="685">
        <f t="shared" si="2"/>
        <v>221</v>
      </c>
      <c r="AU49" s="686">
        <f t="shared" si="3"/>
        <v>209</v>
      </c>
      <c r="AV49" s="665">
        <f t="shared" si="7"/>
        <v>215</v>
      </c>
      <c r="AW49" s="687">
        <f t="shared" si="4"/>
        <v>2.8708133971291794E-2</v>
      </c>
      <c r="AX49" s="663">
        <f t="shared" si="5"/>
        <v>221</v>
      </c>
      <c r="AY49" s="687">
        <f t="shared" si="8"/>
        <v>2.7906976744185963E-2</v>
      </c>
      <c r="AZ49" s="687"/>
      <c r="BA49" s="687"/>
      <c r="BC49" s="688">
        <f t="shared" si="6"/>
        <v>0.66301369863013704</v>
      </c>
    </row>
    <row r="50" spans="2:55" x14ac:dyDescent="0.25">
      <c r="C50" s="662" t="s">
        <v>961</v>
      </c>
      <c r="D50" s="663"/>
      <c r="E50" s="662">
        <v>2</v>
      </c>
      <c r="Q50" s="681">
        <f t="shared" si="0"/>
        <v>2</v>
      </c>
      <c r="R50" s="691"/>
      <c r="W50" s="683">
        <f t="shared" si="18"/>
        <v>0</v>
      </c>
      <c r="X50" s="683">
        <f t="shared" si="18"/>
        <v>0</v>
      </c>
      <c r="Y50" s="683">
        <f t="shared" si="18"/>
        <v>0</v>
      </c>
      <c r="Z50" s="683">
        <f t="shared" si="18"/>
        <v>0</v>
      </c>
      <c r="AA50" s="683">
        <f t="shared" si="18"/>
        <v>0</v>
      </c>
      <c r="AB50" s="683">
        <f t="shared" si="18"/>
        <v>0</v>
      </c>
      <c r="AC50" s="683">
        <f t="shared" si="18"/>
        <v>0</v>
      </c>
      <c r="AD50" s="683">
        <f t="shared" si="18"/>
        <v>0</v>
      </c>
      <c r="AE50" s="684">
        <f t="shared" si="10"/>
        <v>0</v>
      </c>
      <c r="AG50" s="692">
        <v>0</v>
      </c>
      <c r="AH50" s="692">
        <v>0</v>
      </c>
      <c r="AI50" s="692">
        <v>0</v>
      </c>
      <c r="AJ50" s="692">
        <v>0</v>
      </c>
      <c r="AK50" s="692">
        <v>0</v>
      </c>
      <c r="AL50" s="692">
        <v>0</v>
      </c>
      <c r="AM50" s="692">
        <v>0</v>
      </c>
      <c r="AN50" s="692">
        <v>0</v>
      </c>
      <c r="AO50" s="692">
        <v>0</v>
      </c>
      <c r="AP50" s="692">
        <v>0</v>
      </c>
      <c r="AQ50" s="692">
        <v>0</v>
      </c>
      <c r="AR50" s="692">
        <v>0</v>
      </c>
      <c r="AS50" s="685">
        <f t="shared" si="2"/>
        <v>0</v>
      </c>
      <c r="AU50" s="686">
        <f t="shared" si="3"/>
        <v>2</v>
      </c>
      <c r="AV50" s="665">
        <f t="shared" si="7"/>
        <v>0</v>
      </c>
      <c r="AW50" s="687">
        <f t="shared" si="4"/>
        <v>-1</v>
      </c>
      <c r="AX50" s="663">
        <f t="shared" si="5"/>
        <v>0</v>
      </c>
      <c r="AY50" s="687">
        <v>0</v>
      </c>
      <c r="AZ50" s="687"/>
      <c r="BA50" s="687"/>
      <c r="BC50" s="688">
        <f t="shared" si="6"/>
        <v>0</v>
      </c>
    </row>
    <row r="51" spans="2:55" x14ac:dyDescent="0.25">
      <c r="B51" s="662" t="s">
        <v>975</v>
      </c>
      <c r="C51" s="662" t="s">
        <v>961</v>
      </c>
      <c r="D51" s="663"/>
      <c r="E51" s="662">
        <v>6</v>
      </c>
      <c r="F51" s="662">
        <v>8</v>
      </c>
      <c r="G51" s="662">
        <v>6</v>
      </c>
      <c r="H51" s="662">
        <v>6</v>
      </c>
      <c r="I51" s="662">
        <v>6</v>
      </c>
      <c r="J51" s="662">
        <v>7</v>
      </c>
      <c r="K51" s="662">
        <v>7</v>
      </c>
      <c r="L51" s="662">
        <v>7</v>
      </c>
      <c r="M51" s="662">
        <v>10</v>
      </c>
      <c r="N51" s="662">
        <v>7</v>
      </c>
      <c r="O51" s="662">
        <v>9</v>
      </c>
      <c r="P51" s="662">
        <v>6</v>
      </c>
      <c r="Q51" s="681">
        <f t="shared" si="0"/>
        <v>85</v>
      </c>
      <c r="R51" s="691"/>
      <c r="S51" s="662">
        <v>7</v>
      </c>
      <c r="T51" s="662">
        <v>9</v>
      </c>
      <c r="U51" s="662">
        <v>5</v>
      </c>
      <c r="V51" s="662">
        <v>7</v>
      </c>
      <c r="W51" s="683">
        <v>7</v>
      </c>
      <c r="X51" s="683">
        <v>7</v>
      </c>
      <c r="Y51" s="683">
        <v>7</v>
      </c>
      <c r="Z51" s="683">
        <v>7</v>
      </c>
      <c r="AA51" s="683">
        <v>7</v>
      </c>
      <c r="AB51" s="683">
        <v>7</v>
      </c>
      <c r="AC51" s="683">
        <v>7</v>
      </c>
      <c r="AD51" s="683">
        <v>8</v>
      </c>
      <c r="AE51" s="684">
        <f t="shared" si="10"/>
        <v>85</v>
      </c>
      <c r="AG51" s="692">
        <v>7</v>
      </c>
      <c r="AH51" s="692">
        <v>7</v>
      </c>
      <c r="AI51" s="692">
        <v>7</v>
      </c>
      <c r="AJ51" s="692">
        <v>7</v>
      </c>
      <c r="AK51" s="692">
        <v>7</v>
      </c>
      <c r="AL51" s="692">
        <v>7</v>
      </c>
      <c r="AM51" s="692">
        <v>7</v>
      </c>
      <c r="AN51" s="692">
        <v>7</v>
      </c>
      <c r="AO51" s="692">
        <v>7</v>
      </c>
      <c r="AP51" s="692">
        <v>7</v>
      </c>
      <c r="AQ51" s="692">
        <v>7</v>
      </c>
      <c r="AR51" s="692">
        <v>8</v>
      </c>
      <c r="AS51" s="685">
        <f t="shared" si="2"/>
        <v>85</v>
      </c>
      <c r="AU51" s="686">
        <f t="shared" si="3"/>
        <v>85</v>
      </c>
      <c r="AV51" s="665">
        <f t="shared" si="7"/>
        <v>85</v>
      </c>
      <c r="AW51" s="687">
        <f t="shared" si="4"/>
        <v>0</v>
      </c>
      <c r="AX51" s="663">
        <f t="shared" si="5"/>
        <v>85</v>
      </c>
      <c r="AY51" s="687">
        <f t="shared" si="8"/>
        <v>0</v>
      </c>
      <c r="AZ51" s="687"/>
      <c r="BA51" s="687"/>
      <c r="BC51" s="688">
        <f t="shared" si="6"/>
        <v>0.23835616438356164</v>
      </c>
    </row>
    <row r="52" spans="2:55" x14ac:dyDescent="0.25">
      <c r="B52" s="662" t="s">
        <v>976</v>
      </c>
      <c r="C52" s="662" t="s">
        <v>932</v>
      </c>
      <c r="D52" s="663"/>
      <c r="E52" s="662">
        <v>28</v>
      </c>
      <c r="F52" s="662">
        <v>32</v>
      </c>
      <c r="G52" s="662">
        <v>29</v>
      </c>
      <c r="H52" s="662">
        <v>30</v>
      </c>
      <c r="I52" s="662">
        <v>43</v>
      </c>
      <c r="J52" s="662">
        <v>27</v>
      </c>
      <c r="K52" s="662">
        <v>34</v>
      </c>
      <c r="M52" s="662">
        <v>1</v>
      </c>
      <c r="N52" s="662">
        <v>1</v>
      </c>
      <c r="O52" s="662">
        <v>24</v>
      </c>
      <c r="P52" s="662">
        <v>38</v>
      </c>
      <c r="Q52" s="681">
        <f t="shared" si="0"/>
        <v>287</v>
      </c>
      <c r="R52" s="691"/>
      <c r="S52" s="662">
        <v>40</v>
      </c>
      <c r="T52" s="662">
        <v>41</v>
      </c>
      <c r="U52" s="662">
        <v>32</v>
      </c>
      <c r="V52" s="662">
        <v>34</v>
      </c>
      <c r="W52" s="683">
        <v>26</v>
      </c>
      <c r="X52" s="683">
        <v>28</v>
      </c>
      <c r="Y52" s="683">
        <v>30</v>
      </c>
      <c r="Z52" s="683">
        <v>24</v>
      </c>
      <c r="AA52" s="683">
        <v>24</v>
      </c>
      <c r="AB52" s="683">
        <v>24</v>
      </c>
      <c r="AC52" s="683">
        <v>24</v>
      </c>
      <c r="AD52" s="683">
        <v>24</v>
      </c>
      <c r="AE52" s="684">
        <f t="shared" si="10"/>
        <v>351</v>
      </c>
      <c r="AG52" s="692">
        <v>30</v>
      </c>
      <c r="AH52" s="692">
        <v>30</v>
      </c>
      <c r="AI52" s="692">
        <v>30</v>
      </c>
      <c r="AJ52" s="692">
        <v>30</v>
      </c>
      <c r="AK52" s="692">
        <v>30</v>
      </c>
      <c r="AL52" s="692">
        <v>30</v>
      </c>
      <c r="AM52" s="692">
        <v>30</v>
      </c>
      <c r="AN52" s="692">
        <v>30</v>
      </c>
      <c r="AO52" s="692">
        <v>30</v>
      </c>
      <c r="AP52" s="692">
        <v>30</v>
      </c>
      <c r="AQ52" s="692">
        <v>30</v>
      </c>
      <c r="AR52" s="692">
        <v>30</v>
      </c>
      <c r="AS52" s="685">
        <f t="shared" si="2"/>
        <v>360</v>
      </c>
      <c r="AU52" s="686">
        <f t="shared" si="3"/>
        <v>287</v>
      </c>
      <c r="AV52" s="665">
        <f t="shared" si="7"/>
        <v>351</v>
      </c>
      <c r="AW52" s="687">
        <f t="shared" si="4"/>
        <v>0.22299651567944245</v>
      </c>
      <c r="AX52" s="663">
        <f t="shared" si="5"/>
        <v>360</v>
      </c>
      <c r="AY52" s="687">
        <f t="shared" si="8"/>
        <v>2.564102564102555E-2</v>
      </c>
      <c r="AZ52" s="687"/>
      <c r="BA52" s="687"/>
      <c r="BC52" s="688">
        <f t="shared" si="6"/>
        <v>0.86301369863013699</v>
      </c>
    </row>
    <row r="53" spans="2:55" x14ac:dyDescent="0.25">
      <c r="C53" s="662" t="s">
        <v>939</v>
      </c>
      <c r="D53" s="663"/>
      <c r="E53" s="662">
        <v>1</v>
      </c>
      <c r="G53" s="662">
        <v>2</v>
      </c>
      <c r="J53" s="662">
        <v>2</v>
      </c>
      <c r="K53" s="662">
        <v>2</v>
      </c>
      <c r="Q53" s="681">
        <f t="shared" si="0"/>
        <v>7</v>
      </c>
      <c r="R53" s="691"/>
      <c r="S53" s="662">
        <v>1</v>
      </c>
      <c r="U53" s="662">
        <v>2</v>
      </c>
      <c r="W53" s="683">
        <v>0</v>
      </c>
      <c r="X53" s="683">
        <v>0</v>
      </c>
      <c r="Y53" s="683">
        <v>2</v>
      </c>
      <c r="Z53" s="683">
        <v>0</v>
      </c>
      <c r="AA53" s="683">
        <v>2</v>
      </c>
      <c r="AB53" s="683">
        <v>0</v>
      </c>
      <c r="AC53" s="683">
        <v>0</v>
      </c>
      <c r="AD53" s="683">
        <v>0</v>
      </c>
      <c r="AE53" s="684">
        <f t="shared" si="10"/>
        <v>7</v>
      </c>
      <c r="AG53" s="692">
        <v>2</v>
      </c>
      <c r="AH53" s="692">
        <v>0</v>
      </c>
      <c r="AI53" s="692">
        <v>0</v>
      </c>
      <c r="AJ53" s="692">
        <v>1</v>
      </c>
      <c r="AK53" s="692">
        <v>0</v>
      </c>
      <c r="AL53" s="692">
        <v>0</v>
      </c>
      <c r="AM53" s="692">
        <v>1</v>
      </c>
      <c r="AN53" s="692">
        <v>0</v>
      </c>
      <c r="AO53" s="692">
        <v>1</v>
      </c>
      <c r="AP53" s="692">
        <v>1</v>
      </c>
      <c r="AQ53" s="692">
        <v>0</v>
      </c>
      <c r="AR53" s="692">
        <v>1</v>
      </c>
      <c r="AS53" s="685">
        <f t="shared" si="2"/>
        <v>7</v>
      </c>
      <c r="AU53" s="686">
        <f t="shared" si="3"/>
        <v>7</v>
      </c>
      <c r="AV53" s="665">
        <f t="shared" si="7"/>
        <v>7</v>
      </c>
      <c r="AW53" s="687">
        <f t="shared" si="4"/>
        <v>0</v>
      </c>
      <c r="AX53" s="663">
        <f t="shared" si="5"/>
        <v>7</v>
      </c>
      <c r="AY53" s="687">
        <f t="shared" si="8"/>
        <v>0</v>
      </c>
      <c r="AZ53" s="687"/>
      <c r="BA53" s="687"/>
      <c r="BC53" s="688">
        <f t="shared" si="6"/>
        <v>1.9178082191780823E-2</v>
      </c>
    </row>
    <row r="54" spans="2:55" x14ac:dyDescent="0.25">
      <c r="B54" s="662" t="s">
        <v>977</v>
      </c>
      <c r="C54" s="662" t="s">
        <v>932</v>
      </c>
      <c r="D54" s="663"/>
      <c r="E54" s="662">
        <v>19</v>
      </c>
      <c r="F54" s="662">
        <v>31</v>
      </c>
      <c r="G54" s="662">
        <v>11</v>
      </c>
      <c r="H54" s="662">
        <v>31</v>
      </c>
      <c r="I54" s="662">
        <v>27</v>
      </c>
      <c r="J54" s="662">
        <v>21</v>
      </c>
      <c r="K54" s="662">
        <v>28</v>
      </c>
      <c r="L54" s="662">
        <v>18</v>
      </c>
      <c r="M54" s="662">
        <v>24</v>
      </c>
      <c r="N54" s="662">
        <v>29</v>
      </c>
      <c r="O54" s="662">
        <v>9</v>
      </c>
      <c r="Q54" s="681">
        <f t="shared" si="0"/>
        <v>248</v>
      </c>
      <c r="R54" s="691"/>
      <c r="T54" s="662">
        <v>6</v>
      </c>
      <c r="U54" s="662">
        <v>8</v>
      </c>
      <c r="V54" s="662">
        <v>38</v>
      </c>
      <c r="W54" s="683">
        <v>17</v>
      </c>
      <c r="X54" s="683">
        <v>21</v>
      </c>
      <c r="Y54" s="683">
        <v>25</v>
      </c>
      <c r="Z54" s="683">
        <v>25</v>
      </c>
      <c r="AA54" s="683">
        <v>25</v>
      </c>
      <c r="AB54" s="683">
        <v>25</v>
      </c>
      <c r="AC54" s="683">
        <v>25</v>
      </c>
      <c r="AD54" s="683">
        <v>25</v>
      </c>
      <c r="AE54" s="684">
        <f t="shared" si="10"/>
        <v>240</v>
      </c>
      <c r="AG54" s="692">
        <v>25</v>
      </c>
      <c r="AH54" s="692">
        <v>25</v>
      </c>
      <c r="AI54" s="692">
        <v>25</v>
      </c>
      <c r="AJ54" s="692">
        <v>25</v>
      </c>
      <c r="AK54" s="692">
        <v>25</v>
      </c>
      <c r="AL54" s="692">
        <v>25</v>
      </c>
      <c r="AM54" s="692">
        <v>25</v>
      </c>
      <c r="AN54" s="692">
        <v>25</v>
      </c>
      <c r="AO54" s="692">
        <v>25</v>
      </c>
      <c r="AP54" s="692">
        <v>25</v>
      </c>
      <c r="AQ54" s="692">
        <v>25</v>
      </c>
      <c r="AR54" s="692">
        <v>25</v>
      </c>
      <c r="AS54" s="685">
        <f t="shared" si="2"/>
        <v>300</v>
      </c>
      <c r="AU54" s="686">
        <f t="shared" si="3"/>
        <v>248</v>
      </c>
      <c r="AV54" s="665">
        <f t="shared" si="7"/>
        <v>240</v>
      </c>
      <c r="AW54" s="687">
        <f t="shared" si="4"/>
        <v>-3.2258064516129004E-2</v>
      </c>
      <c r="AX54" s="663">
        <f t="shared" si="5"/>
        <v>300</v>
      </c>
      <c r="AY54" s="687">
        <f t="shared" si="8"/>
        <v>0.25</v>
      </c>
      <c r="AZ54" s="687"/>
      <c r="BA54" s="687"/>
      <c r="BC54" s="688">
        <f t="shared" si="6"/>
        <v>0.56986301369863013</v>
      </c>
    </row>
    <row r="55" spans="2:55" x14ac:dyDescent="0.25">
      <c r="C55" s="662" t="s">
        <v>939</v>
      </c>
      <c r="D55" s="663"/>
      <c r="E55" s="662">
        <v>3</v>
      </c>
      <c r="F55" s="662">
        <v>1</v>
      </c>
      <c r="G55" s="662">
        <v>1</v>
      </c>
      <c r="H55" s="662">
        <v>1</v>
      </c>
      <c r="J55" s="662">
        <v>3</v>
      </c>
      <c r="L55" s="662">
        <v>2</v>
      </c>
      <c r="M55" s="662">
        <v>1</v>
      </c>
      <c r="N55" s="662">
        <v>2</v>
      </c>
      <c r="Q55" s="681">
        <f t="shared" si="0"/>
        <v>14</v>
      </c>
      <c r="R55" s="691"/>
      <c r="V55" s="662">
        <v>1</v>
      </c>
      <c r="W55" s="683">
        <v>1</v>
      </c>
      <c r="X55" s="683">
        <v>1</v>
      </c>
      <c r="Y55" s="683">
        <v>1</v>
      </c>
      <c r="Z55" s="683">
        <v>1</v>
      </c>
      <c r="AA55" s="683">
        <v>1</v>
      </c>
      <c r="AB55" s="683">
        <v>1</v>
      </c>
      <c r="AC55" s="683">
        <v>1</v>
      </c>
      <c r="AD55" s="683">
        <v>1</v>
      </c>
      <c r="AE55" s="684">
        <f t="shared" si="10"/>
        <v>9</v>
      </c>
      <c r="AG55" s="692">
        <v>1</v>
      </c>
      <c r="AH55" s="692">
        <v>0</v>
      </c>
      <c r="AI55" s="692">
        <v>0</v>
      </c>
      <c r="AJ55" s="692">
        <v>1</v>
      </c>
      <c r="AK55" s="692">
        <v>0</v>
      </c>
      <c r="AL55" s="692">
        <v>0</v>
      </c>
      <c r="AM55" s="692">
        <v>1</v>
      </c>
      <c r="AN55" s="692">
        <v>0</v>
      </c>
      <c r="AO55" s="692">
        <v>0</v>
      </c>
      <c r="AP55" s="692">
        <v>2</v>
      </c>
      <c r="AQ55" s="692">
        <v>0</v>
      </c>
      <c r="AR55" s="692">
        <v>1</v>
      </c>
      <c r="AS55" s="685">
        <f t="shared" si="2"/>
        <v>6</v>
      </c>
      <c r="AU55" s="686">
        <f t="shared" si="3"/>
        <v>14</v>
      </c>
      <c r="AV55" s="665">
        <f t="shared" si="7"/>
        <v>9</v>
      </c>
      <c r="AW55" s="687">
        <f t="shared" si="4"/>
        <v>-0.3571428571428571</v>
      </c>
      <c r="AX55" s="663">
        <f t="shared" si="5"/>
        <v>6</v>
      </c>
      <c r="AY55" s="687">
        <f t="shared" si="8"/>
        <v>-0.33333333333333337</v>
      </c>
      <c r="AZ55" s="687"/>
      <c r="BA55" s="687"/>
      <c r="BC55" s="688">
        <f t="shared" si="6"/>
        <v>2.4657534246575342E-2</v>
      </c>
    </row>
    <row r="56" spans="2:55" x14ac:dyDescent="0.25">
      <c r="B56" s="662" t="s">
        <v>978</v>
      </c>
      <c r="C56" s="662" t="s">
        <v>932</v>
      </c>
      <c r="D56" s="663" t="s">
        <v>945</v>
      </c>
      <c r="E56" s="662">
        <v>37</v>
      </c>
      <c r="F56" s="662">
        <v>24</v>
      </c>
      <c r="G56" s="662">
        <v>29</v>
      </c>
      <c r="H56" s="662">
        <v>28</v>
      </c>
      <c r="I56" s="662">
        <v>18</v>
      </c>
      <c r="J56" s="662">
        <v>27</v>
      </c>
      <c r="K56" s="662">
        <v>26</v>
      </c>
      <c r="L56" s="662">
        <v>31</v>
      </c>
      <c r="M56" s="662">
        <v>42</v>
      </c>
      <c r="N56" s="662">
        <v>33</v>
      </c>
      <c r="O56" s="662">
        <v>29</v>
      </c>
      <c r="P56" s="662">
        <v>23</v>
      </c>
      <c r="Q56" s="681">
        <f t="shared" si="0"/>
        <v>347</v>
      </c>
      <c r="R56" s="691"/>
      <c r="S56" s="662">
        <v>34</v>
      </c>
      <c r="T56" s="662">
        <v>28</v>
      </c>
      <c r="W56" s="683">
        <v>0</v>
      </c>
      <c r="X56" s="683">
        <v>0</v>
      </c>
      <c r="Y56" s="683">
        <v>0</v>
      </c>
      <c r="Z56" s="683">
        <v>0</v>
      </c>
      <c r="AA56" s="683">
        <v>0</v>
      </c>
      <c r="AB56" s="683">
        <v>0</v>
      </c>
      <c r="AC56" s="683">
        <v>0</v>
      </c>
      <c r="AD56" s="683">
        <v>0</v>
      </c>
      <c r="AE56" s="684">
        <f t="shared" si="10"/>
        <v>62</v>
      </c>
      <c r="AG56" s="692">
        <v>0</v>
      </c>
      <c r="AH56" s="692">
        <v>0</v>
      </c>
      <c r="AI56" s="692">
        <v>0</v>
      </c>
      <c r="AJ56" s="692">
        <v>0</v>
      </c>
      <c r="AK56" s="692">
        <v>0</v>
      </c>
      <c r="AL56" s="692">
        <v>0</v>
      </c>
      <c r="AM56" s="692">
        <v>0</v>
      </c>
      <c r="AN56" s="692">
        <v>0</v>
      </c>
      <c r="AO56" s="692">
        <v>0</v>
      </c>
      <c r="AP56" s="692">
        <v>0</v>
      </c>
      <c r="AQ56" s="692">
        <v>0</v>
      </c>
      <c r="AR56" s="692">
        <v>0</v>
      </c>
      <c r="AS56" s="685">
        <f t="shared" si="2"/>
        <v>0</v>
      </c>
      <c r="AU56" s="686">
        <f t="shared" si="3"/>
        <v>347</v>
      </c>
      <c r="AV56" s="665">
        <f t="shared" si="7"/>
        <v>62</v>
      </c>
      <c r="AW56" s="687">
        <f t="shared" si="4"/>
        <v>-0.82132564841498557</v>
      </c>
      <c r="AX56" s="663">
        <f t="shared" si="5"/>
        <v>0</v>
      </c>
      <c r="AY56" s="687">
        <f t="shared" si="8"/>
        <v>-1</v>
      </c>
      <c r="AZ56" s="687"/>
      <c r="BA56" s="687"/>
      <c r="BC56" s="688">
        <f t="shared" si="6"/>
        <v>0.79726027397260268</v>
      </c>
    </row>
    <row r="57" spans="2:55" x14ac:dyDescent="0.25">
      <c r="C57" s="662" t="s">
        <v>939</v>
      </c>
      <c r="D57" s="663" t="s">
        <v>945</v>
      </c>
      <c r="E57" s="662">
        <v>3</v>
      </c>
      <c r="F57" s="662">
        <v>4</v>
      </c>
      <c r="H57" s="662">
        <v>5</v>
      </c>
      <c r="J57" s="662">
        <v>1</v>
      </c>
      <c r="K57" s="662">
        <v>2</v>
      </c>
      <c r="M57" s="662">
        <v>1</v>
      </c>
      <c r="N57" s="662">
        <v>2</v>
      </c>
      <c r="P57" s="662">
        <v>3</v>
      </c>
      <c r="Q57" s="681">
        <f t="shared" si="0"/>
        <v>21</v>
      </c>
      <c r="R57" s="691"/>
      <c r="S57" s="662">
        <v>1</v>
      </c>
      <c r="W57" s="683">
        <v>0</v>
      </c>
      <c r="X57" s="683">
        <v>0</v>
      </c>
      <c r="Y57" s="683">
        <v>0</v>
      </c>
      <c r="Z57" s="683">
        <v>0</v>
      </c>
      <c r="AA57" s="683">
        <v>0</v>
      </c>
      <c r="AB57" s="683">
        <v>0</v>
      </c>
      <c r="AC57" s="683">
        <v>0</v>
      </c>
      <c r="AD57" s="683">
        <v>0</v>
      </c>
      <c r="AE57" s="684">
        <f t="shared" si="10"/>
        <v>1</v>
      </c>
      <c r="AG57" s="692">
        <v>0</v>
      </c>
      <c r="AH57" s="692">
        <v>0</v>
      </c>
      <c r="AI57" s="692">
        <v>0</v>
      </c>
      <c r="AJ57" s="692">
        <v>0</v>
      </c>
      <c r="AK57" s="692">
        <v>0</v>
      </c>
      <c r="AL57" s="692">
        <v>0</v>
      </c>
      <c r="AM57" s="692">
        <v>0</v>
      </c>
      <c r="AN57" s="692">
        <v>0</v>
      </c>
      <c r="AO57" s="692">
        <v>0</v>
      </c>
      <c r="AP57" s="692">
        <v>0</v>
      </c>
      <c r="AQ57" s="692">
        <v>0</v>
      </c>
      <c r="AR57" s="692">
        <v>0</v>
      </c>
      <c r="AS57" s="685">
        <f t="shared" si="2"/>
        <v>0</v>
      </c>
      <c r="AU57" s="686">
        <f t="shared" si="3"/>
        <v>21</v>
      </c>
      <c r="AV57" s="665">
        <f t="shared" si="7"/>
        <v>1</v>
      </c>
      <c r="AW57" s="687">
        <f t="shared" si="4"/>
        <v>-0.95238095238095233</v>
      </c>
      <c r="AX57" s="663">
        <f t="shared" si="5"/>
        <v>0</v>
      </c>
      <c r="AY57" s="687">
        <f t="shared" si="8"/>
        <v>-1</v>
      </c>
      <c r="AZ57" s="687"/>
      <c r="BA57" s="687"/>
      <c r="BC57" s="688">
        <f t="shared" si="6"/>
        <v>2.7397260273972601E-2</v>
      </c>
    </row>
    <row r="58" spans="2:55" x14ac:dyDescent="0.25">
      <c r="C58" s="662" t="s">
        <v>961</v>
      </c>
      <c r="D58" s="663" t="s">
        <v>945</v>
      </c>
      <c r="N58" s="662">
        <v>1</v>
      </c>
      <c r="Q58" s="681">
        <f t="shared" si="0"/>
        <v>1</v>
      </c>
      <c r="R58" s="691"/>
      <c r="W58" s="683">
        <v>0</v>
      </c>
      <c r="X58" s="683">
        <v>0</v>
      </c>
      <c r="Y58" s="683">
        <v>0</v>
      </c>
      <c r="Z58" s="683">
        <v>0</v>
      </c>
      <c r="AA58" s="683">
        <v>0</v>
      </c>
      <c r="AB58" s="683">
        <v>0</v>
      </c>
      <c r="AC58" s="683">
        <v>0</v>
      </c>
      <c r="AD58" s="683">
        <v>0</v>
      </c>
      <c r="AE58" s="684">
        <f t="shared" si="10"/>
        <v>0</v>
      </c>
      <c r="AG58" s="692">
        <v>0</v>
      </c>
      <c r="AH58" s="692">
        <v>0</v>
      </c>
      <c r="AI58" s="692">
        <v>0</v>
      </c>
      <c r="AJ58" s="692">
        <v>0</v>
      </c>
      <c r="AK58" s="692">
        <v>0</v>
      </c>
      <c r="AL58" s="692">
        <v>0</v>
      </c>
      <c r="AM58" s="692">
        <v>0</v>
      </c>
      <c r="AN58" s="692">
        <v>0</v>
      </c>
      <c r="AO58" s="692">
        <v>0</v>
      </c>
      <c r="AP58" s="692">
        <v>0</v>
      </c>
      <c r="AQ58" s="692">
        <v>0</v>
      </c>
      <c r="AR58" s="692">
        <v>0</v>
      </c>
      <c r="AS58" s="685">
        <f t="shared" si="2"/>
        <v>0</v>
      </c>
      <c r="AU58" s="686">
        <f t="shared" si="3"/>
        <v>1</v>
      </c>
      <c r="AV58" s="665">
        <f t="shared" si="7"/>
        <v>0</v>
      </c>
      <c r="AW58" s="687">
        <f t="shared" si="4"/>
        <v>-1</v>
      </c>
      <c r="AX58" s="663">
        <f t="shared" si="5"/>
        <v>0</v>
      </c>
      <c r="AY58" s="687">
        <v>0</v>
      </c>
      <c r="AZ58" s="687"/>
      <c r="BA58" s="687"/>
      <c r="BC58" s="688">
        <f t="shared" si="6"/>
        <v>2.7397260273972603E-3</v>
      </c>
    </row>
    <row r="59" spans="2:55" x14ac:dyDescent="0.25">
      <c r="B59" s="662" t="s">
        <v>979</v>
      </c>
      <c r="C59" s="662" t="s">
        <v>932</v>
      </c>
      <c r="D59" s="663"/>
      <c r="E59" s="662">
        <v>1</v>
      </c>
      <c r="G59" s="662">
        <v>1</v>
      </c>
      <c r="N59" s="662">
        <v>1</v>
      </c>
      <c r="O59" s="662">
        <v>1</v>
      </c>
      <c r="Q59" s="681">
        <f t="shared" si="0"/>
        <v>4</v>
      </c>
      <c r="R59" s="691"/>
      <c r="S59" s="662">
        <v>1</v>
      </c>
      <c r="U59" s="662">
        <v>1</v>
      </c>
      <c r="W59" s="683">
        <v>0</v>
      </c>
      <c r="X59" s="683">
        <v>0</v>
      </c>
      <c r="Y59" s="683">
        <v>0</v>
      </c>
      <c r="Z59" s="683">
        <v>1</v>
      </c>
      <c r="AA59" s="683">
        <v>0</v>
      </c>
      <c r="AB59" s="683">
        <v>0</v>
      </c>
      <c r="AC59" s="683">
        <v>1</v>
      </c>
      <c r="AD59" s="683">
        <v>0</v>
      </c>
      <c r="AE59" s="684">
        <f t="shared" si="10"/>
        <v>4</v>
      </c>
      <c r="AG59" s="692">
        <v>1</v>
      </c>
      <c r="AH59" s="692">
        <v>0</v>
      </c>
      <c r="AI59" s="692">
        <v>1</v>
      </c>
      <c r="AJ59" s="692">
        <v>0</v>
      </c>
      <c r="AK59" s="692">
        <v>0</v>
      </c>
      <c r="AL59" s="692">
        <v>0</v>
      </c>
      <c r="AM59" s="692">
        <v>1</v>
      </c>
      <c r="AN59" s="692">
        <v>0</v>
      </c>
      <c r="AO59" s="692">
        <v>0</v>
      </c>
      <c r="AP59" s="692">
        <v>1</v>
      </c>
      <c r="AQ59" s="692">
        <v>0</v>
      </c>
      <c r="AR59" s="692">
        <v>0</v>
      </c>
      <c r="AS59" s="685">
        <f t="shared" si="2"/>
        <v>4</v>
      </c>
      <c r="AU59" s="686">
        <f t="shared" si="3"/>
        <v>4</v>
      </c>
      <c r="AV59" s="665">
        <f t="shared" si="7"/>
        <v>4</v>
      </c>
      <c r="AW59" s="687">
        <f t="shared" si="4"/>
        <v>0</v>
      </c>
      <c r="AX59" s="663">
        <f t="shared" si="5"/>
        <v>4</v>
      </c>
      <c r="AY59" s="687">
        <f t="shared" si="8"/>
        <v>0</v>
      </c>
      <c r="AZ59" s="687"/>
      <c r="BA59" s="687"/>
      <c r="BC59" s="688">
        <f t="shared" si="6"/>
        <v>1.0958904109589041E-2</v>
      </c>
    </row>
    <row r="60" spans="2:55" x14ac:dyDescent="0.25">
      <c r="C60" s="662" t="s">
        <v>939</v>
      </c>
      <c r="D60" s="663"/>
      <c r="E60" s="662">
        <v>6</v>
      </c>
      <c r="F60" s="662">
        <v>7</v>
      </c>
      <c r="G60" s="662">
        <v>7</v>
      </c>
      <c r="H60" s="662">
        <v>1</v>
      </c>
      <c r="I60" s="662">
        <v>2</v>
      </c>
      <c r="J60" s="662">
        <v>6</v>
      </c>
      <c r="K60" s="662">
        <v>6</v>
      </c>
      <c r="L60" s="662">
        <v>10</v>
      </c>
      <c r="M60" s="662">
        <v>4</v>
      </c>
      <c r="N60" s="662">
        <v>12</v>
      </c>
      <c r="O60" s="662">
        <v>10</v>
      </c>
      <c r="P60" s="662">
        <v>9</v>
      </c>
      <c r="Q60" s="681">
        <f t="shared" si="0"/>
        <v>80</v>
      </c>
      <c r="R60" s="691"/>
      <c r="S60" s="662">
        <v>9</v>
      </c>
      <c r="T60" s="662">
        <v>8</v>
      </c>
      <c r="U60" s="662">
        <v>9</v>
      </c>
      <c r="V60" s="662">
        <v>15</v>
      </c>
      <c r="W60" s="683">
        <v>6</v>
      </c>
      <c r="X60" s="683">
        <v>6</v>
      </c>
      <c r="Y60" s="683">
        <v>6</v>
      </c>
      <c r="Z60" s="683">
        <v>6</v>
      </c>
      <c r="AA60" s="683">
        <v>6</v>
      </c>
      <c r="AB60" s="683">
        <v>6</v>
      </c>
      <c r="AC60" s="683">
        <v>6</v>
      </c>
      <c r="AD60" s="683">
        <v>6</v>
      </c>
      <c r="AE60" s="684">
        <f t="shared" si="10"/>
        <v>89</v>
      </c>
      <c r="AG60" s="692">
        <v>8</v>
      </c>
      <c r="AH60" s="692">
        <v>8</v>
      </c>
      <c r="AI60" s="692">
        <v>8</v>
      </c>
      <c r="AJ60" s="692">
        <v>8</v>
      </c>
      <c r="AK60" s="692">
        <v>8</v>
      </c>
      <c r="AL60" s="692">
        <v>8</v>
      </c>
      <c r="AM60" s="692">
        <v>7</v>
      </c>
      <c r="AN60" s="692">
        <v>8</v>
      </c>
      <c r="AO60" s="692">
        <v>8</v>
      </c>
      <c r="AP60" s="692">
        <v>8</v>
      </c>
      <c r="AQ60" s="692">
        <v>8</v>
      </c>
      <c r="AR60" s="692">
        <v>8</v>
      </c>
      <c r="AS60" s="685">
        <f t="shared" si="2"/>
        <v>95</v>
      </c>
      <c r="AU60" s="686">
        <f t="shared" si="3"/>
        <v>80</v>
      </c>
      <c r="AV60" s="665">
        <f t="shared" si="7"/>
        <v>89</v>
      </c>
      <c r="AW60" s="687">
        <f t="shared" si="4"/>
        <v>0.11250000000000004</v>
      </c>
      <c r="AX60" s="663">
        <f t="shared" si="5"/>
        <v>95</v>
      </c>
      <c r="AY60" s="687">
        <f t="shared" si="8"/>
        <v>6.7415730337078594E-2</v>
      </c>
      <c r="AZ60" s="687"/>
      <c r="BA60" s="687"/>
      <c r="BC60" s="688">
        <f t="shared" si="6"/>
        <v>0.27397260273972601</v>
      </c>
    </row>
    <row r="61" spans="2:55" x14ac:dyDescent="0.25">
      <c r="C61" s="662" t="s">
        <v>961</v>
      </c>
      <c r="D61" s="663"/>
      <c r="F61" s="662">
        <v>4</v>
      </c>
      <c r="G61" s="662">
        <v>7</v>
      </c>
      <c r="I61" s="662">
        <v>1</v>
      </c>
      <c r="J61" s="662">
        <v>2</v>
      </c>
      <c r="K61" s="662">
        <v>7</v>
      </c>
      <c r="L61" s="662">
        <v>5</v>
      </c>
      <c r="M61" s="662">
        <v>5</v>
      </c>
      <c r="N61" s="662">
        <v>1</v>
      </c>
      <c r="O61" s="662">
        <v>4</v>
      </c>
      <c r="P61" s="662">
        <v>7</v>
      </c>
      <c r="Q61" s="681">
        <f t="shared" si="0"/>
        <v>43</v>
      </c>
      <c r="R61" s="691"/>
      <c r="S61" s="662">
        <v>4</v>
      </c>
      <c r="T61" s="662">
        <v>3</v>
      </c>
      <c r="U61" s="662">
        <v>5</v>
      </c>
      <c r="V61" s="662">
        <v>2</v>
      </c>
      <c r="W61" s="683">
        <v>4</v>
      </c>
      <c r="X61" s="683">
        <v>4</v>
      </c>
      <c r="Y61" s="683">
        <v>4</v>
      </c>
      <c r="Z61" s="683">
        <v>4</v>
      </c>
      <c r="AA61" s="683">
        <v>4</v>
      </c>
      <c r="AB61" s="683">
        <v>4</v>
      </c>
      <c r="AC61" s="683">
        <v>4</v>
      </c>
      <c r="AD61" s="683">
        <v>4</v>
      </c>
      <c r="AE61" s="684">
        <f t="shared" si="10"/>
        <v>46</v>
      </c>
      <c r="AG61" s="692">
        <v>4</v>
      </c>
      <c r="AH61" s="692">
        <v>4</v>
      </c>
      <c r="AI61" s="692">
        <v>4</v>
      </c>
      <c r="AJ61" s="692">
        <v>4</v>
      </c>
      <c r="AK61" s="692">
        <v>4</v>
      </c>
      <c r="AL61" s="692">
        <v>4</v>
      </c>
      <c r="AM61" s="692">
        <v>4</v>
      </c>
      <c r="AN61" s="692">
        <v>4</v>
      </c>
      <c r="AO61" s="692">
        <v>4</v>
      </c>
      <c r="AP61" s="692">
        <v>4</v>
      </c>
      <c r="AQ61" s="692">
        <v>4</v>
      </c>
      <c r="AR61" s="692">
        <v>4</v>
      </c>
      <c r="AS61" s="685">
        <f t="shared" si="2"/>
        <v>48</v>
      </c>
      <c r="AU61" s="686">
        <f t="shared" si="3"/>
        <v>43</v>
      </c>
      <c r="AV61" s="665">
        <f t="shared" si="7"/>
        <v>46</v>
      </c>
      <c r="AW61" s="687">
        <f t="shared" si="4"/>
        <v>6.9767441860465018E-2</v>
      </c>
      <c r="AX61" s="663">
        <f t="shared" si="5"/>
        <v>48</v>
      </c>
      <c r="AY61" s="687">
        <f t="shared" si="8"/>
        <v>4.3478260869565188E-2</v>
      </c>
      <c r="AZ61" s="687"/>
      <c r="BA61" s="687"/>
      <c r="BC61" s="688">
        <f t="shared" si="6"/>
        <v>0.12602739726027398</v>
      </c>
    </row>
    <row r="62" spans="2:55" x14ac:dyDescent="0.25">
      <c r="B62" s="662" t="s">
        <v>980</v>
      </c>
      <c r="C62" s="662" t="s">
        <v>932</v>
      </c>
      <c r="D62" s="663"/>
      <c r="M62" s="662">
        <v>1</v>
      </c>
      <c r="Q62" s="681">
        <f t="shared" si="0"/>
        <v>1</v>
      </c>
      <c r="R62" s="691"/>
      <c r="U62" s="662">
        <v>1</v>
      </c>
      <c r="W62" s="683">
        <v>0</v>
      </c>
      <c r="X62" s="683">
        <v>0</v>
      </c>
      <c r="Y62" s="683">
        <v>0</v>
      </c>
      <c r="Z62" s="683">
        <v>0</v>
      </c>
      <c r="AA62" s="683">
        <v>0</v>
      </c>
      <c r="AB62" s="683">
        <v>0</v>
      </c>
      <c r="AC62" s="683">
        <v>0</v>
      </c>
      <c r="AD62" s="683">
        <v>0</v>
      </c>
      <c r="AE62" s="684">
        <f t="shared" si="10"/>
        <v>1</v>
      </c>
      <c r="AG62" s="692">
        <v>0</v>
      </c>
      <c r="AH62" s="692">
        <v>0</v>
      </c>
      <c r="AI62" s="692">
        <v>0</v>
      </c>
      <c r="AJ62" s="692">
        <v>0</v>
      </c>
      <c r="AK62" s="692">
        <v>0</v>
      </c>
      <c r="AL62" s="692">
        <v>0</v>
      </c>
      <c r="AM62" s="692">
        <v>1</v>
      </c>
      <c r="AN62" s="692">
        <v>0</v>
      </c>
      <c r="AO62" s="692">
        <v>0</v>
      </c>
      <c r="AP62" s="692">
        <v>0</v>
      </c>
      <c r="AQ62" s="692">
        <v>0</v>
      </c>
      <c r="AR62" s="692">
        <v>0</v>
      </c>
      <c r="AS62" s="685">
        <f t="shared" si="2"/>
        <v>1</v>
      </c>
      <c r="AU62" s="686">
        <f t="shared" si="3"/>
        <v>1</v>
      </c>
      <c r="AV62" s="665">
        <f t="shared" si="7"/>
        <v>1</v>
      </c>
      <c r="AW62" s="687">
        <f t="shared" si="4"/>
        <v>0</v>
      </c>
      <c r="AX62" s="663">
        <f t="shared" si="5"/>
        <v>1</v>
      </c>
      <c r="AY62" s="687">
        <f t="shared" si="8"/>
        <v>0</v>
      </c>
      <c r="AZ62" s="687"/>
      <c r="BA62" s="687"/>
      <c r="BC62" s="688">
        <f t="shared" si="6"/>
        <v>5.4794520547945206E-3</v>
      </c>
    </row>
    <row r="63" spans="2:55" x14ac:dyDescent="0.25">
      <c r="C63" s="662" t="s">
        <v>939</v>
      </c>
      <c r="D63" s="663"/>
      <c r="E63" s="662">
        <v>15</v>
      </c>
      <c r="F63" s="662">
        <v>14</v>
      </c>
      <c r="G63" s="662">
        <v>16</v>
      </c>
      <c r="H63" s="662">
        <v>20</v>
      </c>
      <c r="I63" s="662">
        <v>16</v>
      </c>
      <c r="J63" s="662">
        <v>14</v>
      </c>
      <c r="K63" s="662">
        <v>16</v>
      </c>
      <c r="L63" s="662">
        <v>15</v>
      </c>
      <c r="M63" s="662">
        <v>16</v>
      </c>
      <c r="N63" s="662">
        <v>20</v>
      </c>
      <c r="O63" s="662">
        <v>19</v>
      </c>
      <c r="P63" s="662">
        <v>20</v>
      </c>
      <c r="Q63" s="681">
        <f t="shared" si="0"/>
        <v>201</v>
      </c>
      <c r="R63" s="691"/>
      <c r="S63" s="662">
        <v>16</v>
      </c>
      <c r="T63" s="662">
        <v>22</v>
      </c>
      <c r="U63" s="662">
        <v>14</v>
      </c>
      <c r="V63" s="662">
        <v>25</v>
      </c>
      <c r="W63" s="683">
        <v>17</v>
      </c>
      <c r="X63" s="683">
        <v>16</v>
      </c>
      <c r="Y63" s="683">
        <v>22</v>
      </c>
      <c r="Z63" s="683">
        <f t="shared" ref="Y63:AD97" si="23">$BC63*Z$1</f>
        <v>16.339726027397262</v>
      </c>
      <c r="AA63" s="683">
        <v>15</v>
      </c>
      <c r="AB63" s="683">
        <v>16</v>
      </c>
      <c r="AC63" s="683">
        <v>15</v>
      </c>
      <c r="AD63" s="683">
        <v>16</v>
      </c>
      <c r="AE63" s="684">
        <f t="shared" si="10"/>
        <v>210.33972602739726</v>
      </c>
      <c r="AG63" s="692">
        <v>18</v>
      </c>
      <c r="AH63" s="692">
        <v>18</v>
      </c>
      <c r="AI63" s="692">
        <v>18</v>
      </c>
      <c r="AJ63" s="692">
        <v>18</v>
      </c>
      <c r="AK63" s="692">
        <v>18</v>
      </c>
      <c r="AL63" s="692">
        <v>15</v>
      </c>
      <c r="AM63" s="692">
        <v>18</v>
      </c>
      <c r="AN63" s="692">
        <v>18</v>
      </c>
      <c r="AO63" s="692">
        <v>18</v>
      </c>
      <c r="AP63" s="692">
        <v>18</v>
      </c>
      <c r="AQ63" s="692">
        <v>18</v>
      </c>
      <c r="AR63" s="692">
        <v>18</v>
      </c>
      <c r="AS63" s="685">
        <f t="shared" si="2"/>
        <v>213</v>
      </c>
      <c r="AU63" s="686">
        <f t="shared" si="3"/>
        <v>201</v>
      </c>
      <c r="AV63" s="665">
        <f t="shared" si="7"/>
        <v>210.33972602739726</v>
      </c>
      <c r="AW63" s="687">
        <f t="shared" si="4"/>
        <v>4.646629864376739E-2</v>
      </c>
      <c r="AX63" s="663">
        <f t="shared" si="5"/>
        <v>213</v>
      </c>
      <c r="AY63" s="687">
        <f t="shared" si="8"/>
        <v>1.2647510876077739E-2</v>
      </c>
      <c r="AZ63" s="687"/>
      <c r="BA63" s="687"/>
      <c r="BC63" s="688">
        <f t="shared" si="6"/>
        <v>0.58356164383561648</v>
      </c>
    </row>
    <row r="64" spans="2:55" x14ac:dyDescent="0.25">
      <c r="B64" s="662" t="s">
        <v>981</v>
      </c>
      <c r="C64" s="662" t="s">
        <v>932</v>
      </c>
      <c r="D64" s="663"/>
      <c r="L64" s="662">
        <v>1</v>
      </c>
      <c r="O64" s="662">
        <v>1</v>
      </c>
      <c r="Q64" s="681">
        <f t="shared" si="0"/>
        <v>2</v>
      </c>
      <c r="R64" s="691"/>
      <c r="V64" s="662">
        <v>1</v>
      </c>
      <c r="W64" s="683">
        <v>0</v>
      </c>
      <c r="X64" s="683">
        <v>0</v>
      </c>
      <c r="Y64" s="683">
        <v>0</v>
      </c>
      <c r="Z64" s="683">
        <v>0</v>
      </c>
      <c r="AA64" s="683">
        <v>0</v>
      </c>
      <c r="AB64" s="683">
        <v>1</v>
      </c>
      <c r="AC64" s="683">
        <v>0</v>
      </c>
      <c r="AD64" s="683">
        <v>0</v>
      </c>
      <c r="AE64" s="684">
        <f t="shared" si="10"/>
        <v>2</v>
      </c>
      <c r="AG64" s="692">
        <v>0</v>
      </c>
      <c r="AH64" s="692">
        <v>0</v>
      </c>
      <c r="AI64" s="692">
        <v>0</v>
      </c>
      <c r="AJ64" s="692">
        <v>0</v>
      </c>
      <c r="AK64" s="692">
        <v>1</v>
      </c>
      <c r="AL64" s="692">
        <v>0</v>
      </c>
      <c r="AM64" s="692">
        <v>0</v>
      </c>
      <c r="AN64" s="692">
        <v>0</v>
      </c>
      <c r="AO64" s="692">
        <v>0</v>
      </c>
      <c r="AP64" s="692">
        <v>1</v>
      </c>
      <c r="AQ64" s="692">
        <v>0</v>
      </c>
      <c r="AR64" s="692">
        <v>0</v>
      </c>
      <c r="AS64" s="685">
        <f t="shared" si="2"/>
        <v>2</v>
      </c>
      <c r="AU64" s="686">
        <f t="shared" si="3"/>
        <v>2</v>
      </c>
      <c r="AV64" s="665">
        <f t="shared" si="7"/>
        <v>2</v>
      </c>
      <c r="AW64" s="687">
        <f t="shared" si="4"/>
        <v>0</v>
      </c>
      <c r="AX64" s="663">
        <f t="shared" si="5"/>
        <v>2</v>
      </c>
      <c r="AY64" s="687">
        <f t="shared" si="8"/>
        <v>0</v>
      </c>
      <c r="AZ64" s="687"/>
      <c r="BA64" s="687"/>
      <c r="BC64" s="688">
        <f t="shared" si="6"/>
        <v>8.21917808219178E-3</v>
      </c>
    </row>
    <row r="65" spans="1:55" x14ac:dyDescent="0.25">
      <c r="C65" s="662" t="s">
        <v>939</v>
      </c>
      <c r="D65" s="663"/>
      <c r="G65" s="662">
        <v>1</v>
      </c>
      <c r="J65" s="662">
        <v>1</v>
      </c>
      <c r="K65" s="662">
        <v>2</v>
      </c>
      <c r="O65" s="662">
        <v>1</v>
      </c>
      <c r="Q65" s="681">
        <f t="shared" si="0"/>
        <v>5</v>
      </c>
      <c r="R65" s="691"/>
      <c r="W65" s="683">
        <v>0</v>
      </c>
      <c r="X65" s="683">
        <v>1</v>
      </c>
      <c r="Y65" s="683">
        <v>0</v>
      </c>
      <c r="Z65" s="683">
        <v>1</v>
      </c>
      <c r="AA65" s="683">
        <v>0</v>
      </c>
      <c r="AB65" s="683">
        <v>1</v>
      </c>
      <c r="AC65" s="683">
        <v>1</v>
      </c>
      <c r="AD65" s="683">
        <v>1</v>
      </c>
      <c r="AE65" s="684">
        <f t="shared" si="10"/>
        <v>5</v>
      </c>
      <c r="AG65" s="692">
        <v>0</v>
      </c>
      <c r="AH65" s="692">
        <v>0</v>
      </c>
      <c r="AI65" s="692">
        <v>1</v>
      </c>
      <c r="AJ65" s="692">
        <v>0</v>
      </c>
      <c r="AK65" s="692">
        <v>1</v>
      </c>
      <c r="AL65" s="692">
        <v>0</v>
      </c>
      <c r="AM65" s="692">
        <v>0</v>
      </c>
      <c r="AN65" s="692">
        <v>1</v>
      </c>
      <c r="AO65" s="692">
        <v>0</v>
      </c>
      <c r="AP65" s="692">
        <v>0</v>
      </c>
      <c r="AQ65" s="692">
        <v>1</v>
      </c>
      <c r="AR65" s="692">
        <v>1</v>
      </c>
      <c r="AS65" s="685">
        <f t="shared" si="2"/>
        <v>5</v>
      </c>
      <c r="AU65" s="686">
        <f t="shared" si="3"/>
        <v>5</v>
      </c>
      <c r="AV65" s="665">
        <f t="shared" si="7"/>
        <v>5</v>
      </c>
      <c r="AW65" s="687">
        <f t="shared" si="4"/>
        <v>0</v>
      </c>
      <c r="AX65" s="663">
        <f t="shared" si="5"/>
        <v>5</v>
      </c>
      <c r="AY65" s="687">
        <f t="shared" si="8"/>
        <v>0</v>
      </c>
      <c r="AZ65" s="687"/>
      <c r="BA65" s="687"/>
      <c r="BC65" s="688">
        <f t="shared" si="6"/>
        <v>1.0958904109589041E-2</v>
      </c>
    </row>
    <row r="66" spans="1:55" x14ac:dyDescent="0.25">
      <c r="B66" s="662" t="s">
        <v>982</v>
      </c>
      <c r="C66" s="662" t="s">
        <v>932</v>
      </c>
      <c r="D66" s="663" t="s">
        <v>945</v>
      </c>
      <c r="E66" s="662">
        <v>4</v>
      </c>
      <c r="F66" s="662">
        <v>7</v>
      </c>
      <c r="H66" s="662">
        <v>2</v>
      </c>
      <c r="J66" s="662">
        <v>1</v>
      </c>
      <c r="K66" s="662">
        <v>5</v>
      </c>
      <c r="L66" s="662">
        <v>2</v>
      </c>
      <c r="M66" s="662">
        <v>1</v>
      </c>
      <c r="N66" s="662">
        <v>3</v>
      </c>
      <c r="O66" s="662">
        <v>1</v>
      </c>
      <c r="P66" s="662">
        <v>1</v>
      </c>
      <c r="Q66" s="681">
        <f t="shared" si="0"/>
        <v>27</v>
      </c>
      <c r="R66" s="691"/>
      <c r="W66" s="683">
        <v>0</v>
      </c>
      <c r="X66" s="683">
        <v>0</v>
      </c>
      <c r="Y66" s="683">
        <v>0</v>
      </c>
      <c r="Z66" s="683">
        <v>0</v>
      </c>
      <c r="AA66" s="683">
        <v>0</v>
      </c>
      <c r="AB66" s="683">
        <v>0</v>
      </c>
      <c r="AC66" s="683">
        <v>0</v>
      </c>
      <c r="AD66" s="683">
        <v>0</v>
      </c>
      <c r="AE66" s="684">
        <f t="shared" si="10"/>
        <v>0</v>
      </c>
      <c r="AG66" s="692">
        <v>0</v>
      </c>
      <c r="AH66" s="692">
        <v>0</v>
      </c>
      <c r="AI66" s="692">
        <v>0</v>
      </c>
      <c r="AJ66" s="692">
        <v>0</v>
      </c>
      <c r="AK66" s="692">
        <v>0</v>
      </c>
      <c r="AL66" s="692">
        <v>0</v>
      </c>
      <c r="AM66" s="692">
        <v>0</v>
      </c>
      <c r="AN66" s="692">
        <v>0</v>
      </c>
      <c r="AO66" s="692">
        <v>0</v>
      </c>
      <c r="AP66" s="692">
        <v>0</v>
      </c>
      <c r="AQ66" s="692">
        <v>0</v>
      </c>
      <c r="AR66" s="692">
        <v>0</v>
      </c>
      <c r="AS66" s="685">
        <f t="shared" si="2"/>
        <v>0</v>
      </c>
      <c r="AU66" s="686">
        <f t="shared" si="3"/>
        <v>27</v>
      </c>
      <c r="AV66" s="665">
        <f t="shared" si="7"/>
        <v>0</v>
      </c>
      <c r="AW66" s="687">
        <f t="shared" si="4"/>
        <v>-1</v>
      </c>
      <c r="AX66" s="663">
        <f t="shared" si="5"/>
        <v>0</v>
      </c>
      <c r="AY66" s="687">
        <v>0</v>
      </c>
      <c r="AZ66" s="687"/>
      <c r="BA66" s="687"/>
      <c r="BC66" s="688">
        <f t="shared" si="6"/>
        <v>3.8356164383561646E-2</v>
      </c>
    </row>
    <row r="67" spans="1:55" x14ac:dyDescent="0.25">
      <c r="C67" s="662" t="s">
        <v>939</v>
      </c>
      <c r="D67" s="663" t="s">
        <v>945</v>
      </c>
      <c r="E67" s="662">
        <v>5</v>
      </c>
      <c r="F67" s="662">
        <v>9</v>
      </c>
      <c r="G67" s="662">
        <v>5</v>
      </c>
      <c r="H67" s="662">
        <v>8</v>
      </c>
      <c r="I67" s="662">
        <v>8</v>
      </c>
      <c r="J67" s="662">
        <v>1</v>
      </c>
      <c r="K67" s="662">
        <v>2</v>
      </c>
      <c r="L67" s="662">
        <v>10</v>
      </c>
      <c r="N67" s="662">
        <v>10</v>
      </c>
      <c r="O67" s="662">
        <v>7</v>
      </c>
      <c r="P67" s="662">
        <v>2</v>
      </c>
      <c r="Q67" s="681">
        <f t="shared" si="0"/>
        <v>67</v>
      </c>
      <c r="R67" s="691"/>
      <c r="S67" s="662">
        <v>5</v>
      </c>
      <c r="W67" s="683">
        <v>0</v>
      </c>
      <c r="X67" s="683">
        <v>0</v>
      </c>
      <c r="Y67" s="683">
        <v>0</v>
      </c>
      <c r="Z67" s="683">
        <v>0</v>
      </c>
      <c r="AA67" s="683">
        <v>0</v>
      </c>
      <c r="AB67" s="683">
        <v>0</v>
      </c>
      <c r="AC67" s="683">
        <v>0</v>
      </c>
      <c r="AD67" s="683">
        <v>0</v>
      </c>
      <c r="AE67" s="684">
        <f t="shared" si="10"/>
        <v>5</v>
      </c>
      <c r="AG67" s="692">
        <v>0</v>
      </c>
      <c r="AH67" s="692">
        <v>0</v>
      </c>
      <c r="AI67" s="692">
        <v>0</v>
      </c>
      <c r="AJ67" s="692">
        <v>0</v>
      </c>
      <c r="AK67" s="692">
        <v>0</v>
      </c>
      <c r="AL67" s="692">
        <v>0</v>
      </c>
      <c r="AM67" s="692">
        <v>0</v>
      </c>
      <c r="AN67" s="692">
        <v>0</v>
      </c>
      <c r="AO67" s="692">
        <v>0</v>
      </c>
      <c r="AP67" s="692">
        <v>0</v>
      </c>
      <c r="AQ67" s="692">
        <v>0</v>
      </c>
      <c r="AR67" s="692">
        <v>0</v>
      </c>
      <c r="AS67" s="685">
        <f t="shared" si="2"/>
        <v>0</v>
      </c>
      <c r="AU67" s="686">
        <f t="shared" si="3"/>
        <v>67</v>
      </c>
      <c r="AV67" s="665">
        <f t="shared" si="7"/>
        <v>5</v>
      </c>
      <c r="AW67" s="687">
        <f t="shared" si="4"/>
        <v>-0.92537313432835822</v>
      </c>
      <c r="AX67" s="663">
        <f t="shared" si="5"/>
        <v>0</v>
      </c>
      <c r="AY67" s="687">
        <f t="shared" si="8"/>
        <v>-1</v>
      </c>
      <c r="AZ67" s="687"/>
      <c r="BA67" s="687"/>
      <c r="BC67" s="688">
        <f t="shared" si="6"/>
        <v>0.12328767123287671</v>
      </c>
    </row>
    <row r="68" spans="1:55" x14ac:dyDescent="0.25">
      <c r="C68" s="662" t="s">
        <v>961</v>
      </c>
      <c r="D68" s="663" t="s">
        <v>945</v>
      </c>
      <c r="E68" s="664"/>
      <c r="F68" s="664"/>
      <c r="G68" s="664">
        <v>4</v>
      </c>
      <c r="H68" s="664">
        <v>6</v>
      </c>
      <c r="I68" s="664">
        <v>5</v>
      </c>
      <c r="J68" s="664">
        <v>2</v>
      </c>
      <c r="K68" s="664">
        <v>3</v>
      </c>
      <c r="L68" s="664">
        <v>5</v>
      </c>
      <c r="M68" s="664">
        <v>1</v>
      </c>
      <c r="N68" s="664">
        <v>2</v>
      </c>
      <c r="O68" s="664">
        <v>3</v>
      </c>
      <c r="P68" s="681">
        <v>2</v>
      </c>
      <c r="Q68" s="681">
        <f t="shared" si="0"/>
        <v>33</v>
      </c>
      <c r="R68" s="681"/>
      <c r="S68" s="662">
        <v>9</v>
      </c>
      <c r="W68" s="683">
        <v>0</v>
      </c>
      <c r="X68" s="683">
        <v>0</v>
      </c>
      <c r="Y68" s="683">
        <v>0</v>
      </c>
      <c r="Z68" s="683">
        <v>0</v>
      </c>
      <c r="AA68" s="683">
        <v>0</v>
      </c>
      <c r="AB68" s="683">
        <v>0</v>
      </c>
      <c r="AC68" s="683">
        <v>0</v>
      </c>
      <c r="AD68" s="683">
        <v>0</v>
      </c>
      <c r="AE68" s="684">
        <f t="shared" si="10"/>
        <v>9</v>
      </c>
      <c r="AF68" s="685"/>
      <c r="AG68" s="701">
        <v>0</v>
      </c>
      <c r="AH68" s="701">
        <v>0</v>
      </c>
      <c r="AI68" s="701">
        <v>0</v>
      </c>
      <c r="AJ68" s="701">
        <v>0</v>
      </c>
      <c r="AK68" s="701">
        <v>0</v>
      </c>
      <c r="AL68" s="701">
        <v>0</v>
      </c>
      <c r="AM68" s="701">
        <v>0</v>
      </c>
      <c r="AN68" s="701">
        <v>0</v>
      </c>
      <c r="AO68" s="701">
        <v>0</v>
      </c>
      <c r="AP68" s="701">
        <v>0</v>
      </c>
      <c r="AQ68" s="701">
        <v>0</v>
      </c>
      <c r="AR68" s="701">
        <v>0</v>
      </c>
      <c r="AS68" s="685">
        <f t="shared" si="2"/>
        <v>0</v>
      </c>
      <c r="AU68" s="686">
        <f t="shared" si="3"/>
        <v>33</v>
      </c>
      <c r="AV68" s="665">
        <f t="shared" si="7"/>
        <v>9</v>
      </c>
      <c r="AW68" s="687">
        <f t="shared" si="4"/>
        <v>-0.72727272727272729</v>
      </c>
      <c r="AX68" s="663">
        <f t="shared" si="5"/>
        <v>0</v>
      </c>
      <c r="AY68" s="687">
        <f t="shared" si="8"/>
        <v>-1</v>
      </c>
      <c r="AZ68" s="687"/>
      <c r="BA68" s="687"/>
      <c r="BC68" s="688">
        <f t="shared" si="6"/>
        <v>8.7671232876712329E-2</v>
      </c>
    </row>
    <row r="69" spans="1:55" x14ac:dyDescent="0.25">
      <c r="B69" s="662" t="s">
        <v>983</v>
      </c>
      <c r="C69" s="662" t="s">
        <v>932</v>
      </c>
      <c r="D69" s="663"/>
      <c r="G69" s="662">
        <v>2</v>
      </c>
      <c r="K69" s="662">
        <v>1</v>
      </c>
      <c r="M69" s="662">
        <v>2</v>
      </c>
      <c r="N69" s="662">
        <v>3</v>
      </c>
      <c r="Q69" s="681">
        <f t="shared" si="0"/>
        <v>8</v>
      </c>
      <c r="R69" s="691"/>
      <c r="T69" s="662">
        <v>1</v>
      </c>
      <c r="W69" s="683">
        <v>0</v>
      </c>
      <c r="X69" s="683">
        <v>1</v>
      </c>
      <c r="Y69" s="683">
        <f t="shared" si="23"/>
        <v>0.59452054794520548</v>
      </c>
      <c r="Z69" s="683">
        <v>0</v>
      </c>
      <c r="AA69" s="683">
        <v>0</v>
      </c>
      <c r="AB69" s="683">
        <v>0</v>
      </c>
      <c r="AC69" s="683">
        <f t="shared" si="23"/>
        <v>0.59452054794520548</v>
      </c>
      <c r="AD69" s="683">
        <f t="shared" si="23"/>
        <v>0.57534246575342474</v>
      </c>
      <c r="AE69" s="684">
        <f t="shared" si="10"/>
        <v>3.7643835616438355</v>
      </c>
      <c r="AG69" s="692">
        <v>0</v>
      </c>
      <c r="AH69" s="692">
        <v>0</v>
      </c>
      <c r="AI69" s="692">
        <v>1</v>
      </c>
      <c r="AJ69" s="692">
        <v>0</v>
      </c>
      <c r="AK69" s="692">
        <v>0</v>
      </c>
      <c r="AL69" s="692">
        <v>1</v>
      </c>
      <c r="AM69" s="692">
        <v>0</v>
      </c>
      <c r="AN69" s="692">
        <v>0</v>
      </c>
      <c r="AO69" s="692">
        <v>1</v>
      </c>
      <c r="AP69" s="692">
        <v>0</v>
      </c>
      <c r="AQ69" s="692">
        <v>0</v>
      </c>
      <c r="AR69" s="692">
        <v>1</v>
      </c>
      <c r="AS69" s="685">
        <f t="shared" si="2"/>
        <v>4</v>
      </c>
      <c r="AU69" s="686">
        <f t="shared" si="3"/>
        <v>8</v>
      </c>
      <c r="AV69" s="665">
        <f t="shared" si="7"/>
        <v>3.7643835616438355</v>
      </c>
      <c r="AW69" s="687">
        <f t="shared" si="4"/>
        <v>-0.52945205479452051</v>
      </c>
      <c r="AX69" s="663">
        <f t="shared" si="5"/>
        <v>4</v>
      </c>
      <c r="AY69" s="687">
        <f t="shared" si="8"/>
        <v>6.2590975254730674E-2</v>
      </c>
      <c r="AZ69" s="687"/>
      <c r="BA69" s="687"/>
      <c r="BC69" s="688">
        <f t="shared" si="6"/>
        <v>1.9178082191780823E-2</v>
      </c>
    </row>
    <row r="70" spans="1:55" x14ac:dyDescent="0.25">
      <c r="C70" s="662" t="s">
        <v>939</v>
      </c>
      <c r="D70" s="663"/>
      <c r="E70" s="662">
        <v>6</v>
      </c>
      <c r="F70" s="662">
        <v>6</v>
      </c>
      <c r="G70" s="662">
        <v>8</v>
      </c>
      <c r="H70" s="662">
        <v>7</v>
      </c>
      <c r="I70" s="662">
        <v>7</v>
      </c>
      <c r="J70" s="662">
        <v>3</v>
      </c>
      <c r="K70" s="662">
        <v>5</v>
      </c>
      <c r="L70" s="662">
        <v>5</v>
      </c>
      <c r="M70" s="662">
        <v>7</v>
      </c>
      <c r="N70" s="662">
        <v>9</v>
      </c>
      <c r="O70" s="662">
        <v>4</v>
      </c>
      <c r="P70" s="662">
        <v>8</v>
      </c>
      <c r="Q70" s="681">
        <f t="shared" si="0"/>
        <v>75</v>
      </c>
      <c r="R70" s="691"/>
      <c r="S70" s="662">
        <v>4</v>
      </c>
      <c r="T70" s="662">
        <v>14</v>
      </c>
      <c r="U70" s="662">
        <v>3</v>
      </c>
      <c r="V70" s="662">
        <v>7</v>
      </c>
      <c r="W70" s="683">
        <v>6</v>
      </c>
      <c r="X70" s="683">
        <v>6</v>
      </c>
      <c r="Y70" s="683">
        <v>7</v>
      </c>
      <c r="Z70" s="683">
        <v>6</v>
      </c>
      <c r="AA70" s="683">
        <v>6</v>
      </c>
      <c r="AB70" s="683">
        <v>7</v>
      </c>
      <c r="AC70" s="683">
        <v>6</v>
      </c>
      <c r="AD70" s="683">
        <v>6</v>
      </c>
      <c r="AE70" s="684">
        <f t="shared" si="10"/>
        <v>78</v>
      </c>
      <c r="AG70" s="692">
        <v>6</v>
      </c>
      <c r="AH70" s="692">
        <v>6</v>
      </c>
      <c r="AI70" s="692">
        <v>7</v>
      </c>
      <c r="AJ70" s="692">
        <v>7</v>
      </c>
      <c r="AK70" s="692">
        <v>7</v>
      </c>
      <c r="AL70" s="692">
        <v>7</v>
      </c>
      <c r="AM70" s="692">
        <v>7</v>
      </c>
      <c r="AN70" s="692">
        <v>7</v>
      </c>
      <c r="AO70" s="692">
        <v>7</v>
      </c>
      <c r="AP70" s="692">
        <v>7</v>
      </c>
      <c r="AQ70" s="692">
        <v>7</v>
      </c>
      <c r="AR70" s="692">
        <v>7</v>
      </c>
      <c r="AS70" s="685">
        <f t="shared" si="2"/>
        <v>82</v>
      </c>
      <c r="AU70" s="686">
        <f t="shared" si="3"/>
        <v>75</v>
      </c>
      <c r="AV70" s="665">
        <f t="shared" si="7"/>
        <v>78</v>
      </c>
      <c r="AW70" s="687">
        <f t="shared" si="4"/>
        <v>4.0000000000000036E-2</v>
      </c>
      <c r="AX70" s="663">
        <f t="shared" si="5"/>
        <v>82</v>
      </c>
      <c r="AY70" s="687">
        <f t="shared" si="8"/>
        <v>5.1282051282051322E-2</v>
      </c>
      <c r="AZ70" s="687"/>
      <c r="BA70" s="687"/>
      <c r="BC70" s="688">
        <f t="shared" si="6"/>
        <v>0.20821917808219179</v>
      </c>
    </row>
    <row r="71" spans="1:55" x14ac:dyDescent="0.25">
      <c r="C71" s="662" t="s">
        <v>961</v>
      </c>
      <c r="D71" s="663"/>
      <c r="E71" s="662">
        <v>7</v>
      </c>
      <c r="F71" s="662">
        <v>5</v>
      </c>
      <c r="G71" s="662">
        <v>1</v>
      </c>
      <c r="H71" s="662">
        <v>3</v>
      </c>
      <c r="I71" s="662">
        <v>5</v>
      </c>
      <c r="J71" s="662">
        <v>2</v>
      </c>
      <c r="K71" s="662">
        <v>2</v>
      </c>
      <c r="L71" s="662">
        <v>5</v>
      </c>
      <c r="M71" s="662">
        <v>7</v>
      </c>
      <c r="N71" s="662">
        <v>9</v>
      </c>
      <c r="O71" s="662">
        <v>4</v>
      </c>
      <c r="P71" s="662">
        <v>2</v>
      </c>
      <c r="Q71" s="681">
        <f t="shared" si="0"/>
        <v>52</v>
      </c>
      <c r="R71" s="691"/>
      <c r="S71" s="662">
        <v>1</v>
      </c>
      <c r="T71" s="662">
        <v>6</v>
      </c>
      <c r="U71" s="662">
        <v>4</v>
      </c>
      <c r="V71" s="662">
        <v>7</v>
      </c>
      <c r="W71" s="683">
        <v>4</v>
      </c>
      <c r="X71" s="683">
        <v>4</v>
      </c>
      <c r="Y71" s="683">
        <v>5</v>
      </c>
      <c r="Z71" s="683">
        <v>4</v>
      </c>
      <c r="AA71" s="683">
        <v>4</v>
      </c>
      <c r="AB71" s="683">
        <v>5</v>
      </c>
      <c r="AC71" s="683">
        <v>4</v>
      </c>
      <c r="AD71" s="683">
        <v>4</v>
      </c>
      <c r="AE71" s="684">
        <f t="shared" si="10"/>
        <v>52</v>
      </c>
      <c r="AG71" s="692">
        <v>4</v>
      </c>
      <c r="AH71" s="692">
        <v>5</v>
      </c>
      <c r="AI71" s="692">
        <v>5</v>
      </c>
      <c r="AJ71" s="692">
        <v>4</v>
      </c>
      <c r="AK71" s="692">
        <v>5</v>
      </c>
      <c r="AL71" s="692">
        <v>5</v>
      </c>
      <c r="AM71" s="692">
        <v>4</v>
      </c>
      <c r="AN71" s="692">
        <v>5</v>
      </c>
      <c r="AO71" s="692">
        <v>5</v>
      </c>
      <c r="AP71" s="692">
        <v>4</v>
      </c>
      <c r="AQ71" s="692">
        <v>5</v>
      </c>
      <c r="AR71" s="692">
        <v>4</v>
      </c>
      <c r="AS71" s="685">
        <f t="shared" si="2"/>
        <v>55</v>
      </c>
      <c r="AU71" s="686">
        <f t="shared" si="3"/>
        <v>52</v>
      </c>
      <c r="AV71" s="665">
        <f t="shared" si="7"/>
        <v>52</v>
      </c>
      <c r="AW71" s="687">
        <f t="shared" si="4"/>
        <v>0</v>
      </c>
      <c r="AX71" s="663">
        <f t="shared" si="5"/>
        <v>55</v>
      </c>
      <c r="AY71" s="687">
        <f t="shared" si="8"/>
        <v>5.7692307692307709E-2</v>
      </c>
      <c r="AZ71" s="687"/>
      <c r="BA71" s="687"/>
      <c r="BC71" s="688">
        <f t="shared" si="6"/>
        <v>0.14794520547945206</v>
      </c>
    </row>
    <row r="72" spans="1:55" x14ac:dyDescent="0.25">
      <c r="B72" s="662" t="s">
        <v>984</v>
      </c>
      <c r="C72" s="662" t="s">
        <v>932</v>
      </c>
      <c r="D72" s="663"/>
      <c r="E72" s="662">
        <v>1</v>
      </c>
      <c r="G72" s="662">
        <v>1</v>
      </c>
      <c r="H72" s="662">
        <v>1</v>
      </c>
      <c r="Q72" s="681">
        <f t="shared" ref="Q72:Q135" si="24">SUM(E72:P72)</f>
        <v>3</v>
      </c>
      <c r="R72" s="691"/>
      <c r="S72" s="662">
        <v>2</v>
      </c>
      <c r="W72" s="683">
        <v>0</v>
      </c>
      <c r="X72" s="683">
        <v>0</v>
      </c>
      <c r="Y72" s="683">
        <v>0</v>
      </c>
      <c r="Z72" s="683">
        <v>0</v>
      </c>
      <c r="AA72" s="683">
        <v>0</v>
      </c>
      <c r="AB72" s="683">
        <v>0</v>
      </c>
      <c r="AC72" s="683">
        <v>0</v>
      </c>
      <c r="AD72" s="683">
        <v>0</v>
      </c>
      <c r="AE72" s="684">
        <f t="shared" si="10"/>
        <v>2</v>
      </c>
      <c r="AG72" s="692">
        <v>0</v>
      </c>
      <c r="AH72" s="692">
        <v>0</v>
      </c>
      <c r="AI72" s="692">
        <v>0</v>
      </c>
      <c r="AJ72" s="692">
        <v>0</v>
      </c>
      <c r="AK72" s="692">
        <v>1</v>
      </c>
      <c r="AL72" s="692">
        <v>0</v>
      </c>
      <c r="AM72" s="692">
        <v>0</v>
      </c>
      <c r="AN72" s="692">
        <v>1</v>
      </c>
      <c r="AO72" s="692">
        <v>0</v>
      </c>
      <c r="AP72" s="692">
        <v>0</v>
      </c>
      <c r="AQ72" s="692">
        <v>0</v>
      </c>
      <c r="AR72" s="692">
        <v>1</v>
      </c>
      <c r="AS72" s="685">
        <f t="shared" ref="AS72:AS74" si="25">SUM(AG72:AR72)</f>
        <v>3</v>
      </c>
      <c r="AU72" s="686">
        <f t="shared" ref="AU72:AU135" si="26">Q72</f>
        <v>3</v>
      </c>
      <c r="AV72" s="665">
        <f t="shared" si="7"/>
        <v>2</v>
      </c>
      <c r="AW72" s="687">
        <f t="shared" ref="AW72:AW135" si="27">(AV72/AU72)-1</f>
        <v>-0.33333333333333337</v>
      </c>
      <c r="AX72" s="702">
        <f t="shared" ref="AX72:AX135" si="28">AS72</f>
        <v>3</v>
      </c>
      <c r="AY72" s="687">
        <f t="shared" si="8"/>
        <v>0.5</v>
      </c>
      <c r="AZ72" s="687"/>
      <c r="BA72" s="687"/>
      <c r="BB72" s="702"/>
      <c r="BC72" s="688">
        <f t="shared" ref="BC72:BC135" si="29">(I72+J72+K72+L72+M72+N72+O72+P72+S72+T72+U72+V72)/365</f>
        <v>5.4794520547945206E-3</v>
      </c>
    </row>
    <row r="73" spans="1:55" x14ac:dyDescent="0.25">
      <c r="C73" s="662" t="s">
        <v>939</v>
      </c>
      <c r="D73" s="663"/>
      <c r="E73" s="662">
        <v>14</v>
      </c>
      <c r="F73" s="662">
        <v>20</v>
      </c>
      <c r="G73" s="662">
        <v>15</v>
      </c>
      <c r="H73" s="662">
        <v>21</v>
      </c>
      <c r="I73" s="662">
        <v>16</v>
      </c>
      <c r="J73" s="662">
        <v>13</v>
      </c>
      <c r="K73" s="662">
        <v>25</v>
      </c>
      <c r="L73" s="662">
        <v>22</v>
      </c>
      <c r="M73" s="662">
        <v>17</v>
      </c>
      <c r="N73" s="662">
        <v>6</v>
      </c>
      <c r="O73" s="662">
        <v>26</v>
      </c>
      <c r="P73" s="662">
        <v>19</v>
      </c>
      <c r="Q73" s="681">
        <f t="shared" si="24"/>
        <v>214</v>
      </c>
      <c r="R73" s="691"/>
      <c r="S73" s="662">
        <v>26</v>
      </c>
      <c r="T73" s="662">
        <v>30</v>
      </c>
      <c r="U73" s="662">
        <v>5</v>
      </c>
      <c r="V73" s="662">
        <v>18</v>
      </c>
      <c r="W73" s="683">
        <v>18</v>
      </c>
      <c r="X73" s="683">
        <v>19</v>
      </c>
      <c r="Y73" s="683">
        <v>19</v>
      </c>
      <c r="Z73" s="683">
        <v>17</v>
      </c>
      <c r="AA73" s="683">
        <v>17</v>
      </c>
      <c r="AB73" s="683">
        <v>18</v>
      </c>
      <c r="AC73" s="683">
        <v>17</v>
      </c>
      <c r="AD73" s="683">
        <v>18</v>
      </c>
      <c r="AE73" s="684">
        <f t="shared" si="10"/>
        <v>222</v>
      </c>
      <c r="AG73" s="692">
        <v>19</v>
      </c>
      <c r="AH73" s="692">
        <v>19</v>
      </c>
      <c r="AI73" s="692">
        <v>19</v>
      </c>
      <c r="AJ73" s="692">
        <v>19</v>
      </c>
      <c r="AK73" s="692">
        <v>19</v>
      </c>
      <c r="AL73" s="692">
        <v>19</v>
      </c>
      <c r="AM73" s="692">
        <v>19</v>
      </c>
      <c r="AN73" s="692">
        <v>19</v>
      </c>
      <c r="AO73" s="692">
        <v>19</v>
      </c>
      <c r="AP73" s="692">
        <v>19</v>
      </c>
      <c r="AQ73" s="692">
        <v>19</v>
      </c>
      <c r="AR73" s="692">
        <v>19</v>
      </c>
      <c r="AS73" s="685">
        <f t="shared" si="25"/>
        <v>228</v>
      </c>
      <c r="AU73" s="686">
        <f t="shared" si="26"/>
        <v>214</v>
      </c>
      <c r="AV73" s="665">
        <f t="shared" si="7"/>
        <v>222</v>
      </c>
      <c r="AW73" s="687">
        <f t="shared" si="27"/>
        <v>3.7383177570093462E-2</v>
      </c>
      <c r="AX73" s="702">
        <f t="shared" si="28"/>
        <v>228</v>
      </c>
      <c r="AY73" s="687">
        <f t="shared" si="8"/>
        <v>2.7027027027026973E-2</v>
      </c>
      <c r="AZ73" s="687"/>
      <c r="BA73" s="687"/>
      <c r="BB73" s="702"/>
      <c r="BC73" s="688">
        <f t="shared" si="29"/>
        <v>0.61095890410958908</v>
      </c>
    </row>
    <row r="74" spans="1:55" x14ac:dyDescent="0.25">
      <c r="C74" s="662" t="s">
        <v>961</v>
      </c>
      <c r="D74" s="663"/>
      <c r="Q74" s="681">
        <f t="shared" si="24"/>
        <v>0</v>
      </c>
      <c r="R74" s="691"/>
      <c r="T74" s="662">
        <v>1</v>
      </c>
      <c r="W74" s="683">
        <v>0</v>
      </c>
      <c r="X74" s="683">
        <v>0</v>
      </c>
      <c r="Y74" s="683">
        <v>0</v>
      </c>
      <c r="Z74" s="683">
        <v>0</v>
      </c>
      <c r="AA74" s="683">
        <v>0</v>
      </c>
      <c r="AB74" s="683">
        <v>0</v>
      </c>
      <c r="AC74" s="683">
        <v>0</v>
      </c>
      <c r="AD74" s="683">
        <v>0</v>
      </c>
      <c r="AE74" s="684">
        <f t="shared" si="10"/>
        <v>1</v>
      </c>
      <c r="AG74" s="692">
        <v>0</v>
      </c>
      <c r="AH74" s="692">
        <v>0</v>
      </c>
      <c r="AI74" s="692">
        <v>0</v>
      </c>
      <c r="AJ74" s="692">
        <v>0</v>
      </c>
      <c r="AK74" s="692">
        <v>0</v>
      </c>
      <c r="AL74" s="692">
        <v>0</v>
      </c>
      <c r="AM74" s="692">
        <v>0</v>
      </c>
      <c r="AN74" s="692">
        <v>0</v>
      </c>
      <c r="AO74" s="692">
        <v>0</v>
      </c>
      <c r="AP74" s="692">
        <v>0</v>
      </c>
      <c r="AQ74" s="692">
        <v>0</v>
      </c>
      <c r="AR74" s="692">
        <v>0</v>
      </c>
      <c r="AS74" s="685">
        <f t="shared" si="25"/>
        <v>0</v>
      </c>
      <c r="AU74" s="686">
        <f t="shared" si="26"/>
        <v>0</v>
      </c>
      <c r="AV74" s="665">
        <f t="shared" ref="AV74:AV137" si="30">AE74</f>
        <v>1</v>
      </c>
      <c r="AW74" s="687">
        <v>0</v>
      </c>
      <c r="AX74" s="702">
        <f t="shared" si="28"/>
        <v>0</v>
      </c>
      <c r="AY74" s="687">
        <f t="shared" ref="AY74:AY134" si="31">(AX74/AV74)-1</f>
        <v>-1</v>
      </c>
      <c r="AZ74" s="687"/>
      <c r="BA74" s="687"/>
      <c r="BB74" s="702"/>
      <c r="BC74" s="688">
        <f t="shared" si="29"/>
        <v>2.7397260273972603E-3</v>
      </c>
    </row>
    <row r="75" spans="1:55" x14ac:dyDescent="0.25">
      <c r="A75" s="693" t="s">
        <v>985</v>
      </c>
      <c r="B75" s="693"/>
      <c r="C75" s="693"/>
      <c r="D75" s="694"/>
      <c r="E75" s="693">
        <v>220</v>
      </c>
      <c r="F75" s="693">
        <v>254</v>
      </c>
      <c r="G75" s="693">
        <v>217</v>
      </c>
      <c r="H75" s="693">
        <v>234</v>
      </c>
      <c r="I75" s="693">
        <v>254</v>
      </c>
      <c r="J75" s="693">
        <v>199</v>
      </c>
      <c r="K75" s="693">
        <v>289</v>
      </c>
      <c r="L75" s="693">
        <v>225</v>
      </c>
      <c r="M75" s="693">
        <v>237</v>
      </c>
      <c r="N75" s="693">
        <v>254</v>
      </c>
      <c r="O75" s="693">
        <v>261</v>
      </c>
      <c r="P75" s="693">
        <v>236</v>
      </c>
      <c r="Q75" s="695">
        <f t="shared" si="24"/>
        <v>2880</v>
      </c>
      <c r="R75" s="695"/>
      <c r="S75" s="693">
        <v>266</v>
      </c>
      <c r="T75" s="693">
        <v>296</v>
      </c>
      <c r="U75" s="693">
        <v>188</v>
      </c>
      <c r="V75" s="693">
        <v>243</v>
      </c>
      <c r="W75" s="696">
        <f>SUM(W39:W74)</f>
        <v>179</v>
      </c>
      <c r="X75" s="696">
        <f t="shared" ref="X75:AD75" si="32">SUM(X39:X74)</f>
        <v>175</v>
      </c>
      <c r="Y75" s="696">
        <f t="shared" si="32"/>
        <v>201.59452054794519</v>
      </c>
      <c r="Z75" s="696">
        <f t="shared" si="32"/>
        <v>183.33972602739726</v>
      </c>
      <c r="AA75" s="696">
        <f t="shared" si="32"/>
        <v>190</v>
      </c>
      <c r="AB75" s="696">
        <f t="shared" si="32"/>
        <v>204</v>
      </c>
      <c r="AC75" s="696">
        <f t="shared" si="32"/>
        <v>192.59452054794519</v>
      </c>
      <c r="AD75" s="696">
        <f t="shared" si="32"/>
        <v>194.57534246575344</v>
      </c>
      <c r="AE75" s="697">
        <f t="shared" ref="AE75:AE78" si="33">SUM(S75:AD75)</f>
        <v>2513.1041095890409</v>
      </c>
      <c r="AF75" s="694"/>
      <c r="AG75" s="694">
        <f t="shared" ref="AG75:AR75" si="34">SUM(AG39:AG74)</f>
        <v>224</v>
      </c>
      <c r="AH75" s="694">
        <f t="shared" si="34"/>
        <v>222</v>
      </c>
      <c r="AI75" s="694">
        <f t="shared" si="34"/>
        <v>224</v>
      </c>
      <c r="AJ75" s="694">
        <f t="shared" si="34"/>
        <v>222</v>
      </c>
      <c r="AK75" s="694">
        <f t="shared" si="34"/>
        <v>225</v>
      </c>
      <c r="AL75" s="694">
        <f t="shared" si="34"/>
        <v>212</v>
      </c>
      <c r="AM75" s="694">
        <f t="shared" si="34"/>
        <v>224</v>
      </c>
      <c r="AN75" s="694">
        <f t="shared" si="34"/>
        <v>224</v>
      </c>
      <c r="AO75" s="694">
        <f t="shared" si="34"/>
        <v>227</v>
      </c>
      <c r="AP75" s="694">
        <f t="shared" si="34"/>
        <v>225</v>
      </c>
      <c r="AQ75" s="694">
        <f t="shared" si="34"/>
        <v>222</v>
      </c>
      <c r="AR75" s="694">
        <f t="shared" si="34"/>
        <v>226</v>
      </c>
      <c r="AS75" s="694">
        <f>SUM(AS39:AS74)</f>
        <v>2677</v>
      </c>
      <c r="AT75" s="694"/>
      <c r="AU75" s="697">
        <f t="shared" si="26"/>
        <v>2880</v>
      </c>
      <c r="AV75" s="697">
        <f t="shared" si="30"/>
        <v>2513.1041095890409</v>
      </c>
      <c r="AW75" s="698">
        <f t="shared" si="27"/>
        <v>-0.12739440639269417</v>
      </c>
      <c r="AX75" s="694">
        <f t="shared" si="28"/>
        <v>2677</v>
      </c>
      <c r="AY75" s="698">
        <f t="shared" si="31"/>
        <v>6.5216514423575012E-2</v>
      </c>
      <c r="AZ75" s="698"/>
      <c r="BA75" s="698"/>
      <c r="BB75" s="702"/>
      <c r="BC75" s="688">
        <f t="shared" si="29"/>
        <v>8.0767123287671225</v>
      </c>
    </row>
    <row r="76" spans="1:55" x14ac:dyDescent="0.25">
      <c r="A76" s="664" t="s">
        <v>986</v>
      </c>
      <c r="B76" s="662" t="s">
        <v>987</v>
      </c>
      <c r="C76" s="662" t="s">
        <v>939</v>
      </c>
      <c r="D76" s="663"/>
      <c r="E76" s="662">
        <v>12</v>
      </c>
      <c r="F76" s="662">
        <v>6</v>
      </c>
      <c r="G76" s="662">
        <v>3</v>
      </c>
      <c r="H76" s="662">
        <v>6</v>
      </c>
      <c r="I76" s="662">
        <v>8</v>
      </c>
      <c r="J76" s="662">
        <v>6</v>
      </c>
      <c r="K76" s="662">
        <v>6</v>
      </c>
      <c r="L76" s="662">
        <v>3</v>
      </c>
      <c r="M76" s="662">
        <v>6</v>
      </c>
      <c r="N76" s="662">
        <v>10</v>
      </c>
      <c r="O76" s="662">
        <v>5</v>
      </c>
      <c r="P76" s="662">
        <v>11</v>
      </c>
      <c r="Q76" s="681">
        <f t="shared" si="24"/>
        <v>82</v>
      </c>
      <c r="R76" s="691"/>
      <c r="S76" s="662">
        <v>9</v>
      </c>
      <c r="T76" s="662">
        <v>7</v>
      </c>
      <c r="U76" s="662">
        <v>9</v>
      </c>
      <c r="V76" s="662">
        <v>16</v>
      </c>
      <c r="W76" s="683">
        <v>8</v>
      </c>
      <c r="X76" s="683">
        <v>6</v>
      </c>
      <c r="Y76" s="683">
        <v>6</v>
      </c>
      <c r="Z76" s="683">
        <v>3</v>
      </c>
      <c r="AA76" s="683">
        <v>6</v>
      </c>
      <c r="AB76" s="683">
        <v>10</v>
      </c>
      <c r="AC76" s="683">
        <v>5</v>
      </c>
      <c r="AD76" s="683">
        <v>11</v>
      </c>
      <c r="AE76" s="684">
        <f t="shared" si="33"/>
        <v>96</v>
      </c>
      <c r="AG76" s="692">
        <v>8</v>
      </c>
      <c r="AH76" s="692">
        <v>8</v>
      </c>
      <c r="AI76" s="692">
        <v>8</v>
      </c>
      <c r="AJ76" s="692">
        <v>8</v>
      </c>
      <c r="AK76" s="692">
        <v>8</v>
      </c>
      <c r="AL76" s="692">
        <v>8</v>
      </c>
      <c r="AM76" s="692">
        <v>8</v>
      </c>
      <c r="AN76" s="692">
        <v>8</v>
      </c>
      <c r="AO76" s="692">
        <v>8</v>
      </c>
      <c r="AP76" s="692">
        <v>10</v>
      </c>
      <c r="AQ76" s="692">
        <v>8</v>
      </c>
      <c r="AR76" s="692">
        <v>11</v>
      </c>
      <c r="AS76" s="685">
        <f t="shared" ref="AS76:AS87" si="35">SUM(AG76:AR76)</f>
        <v>101</v>
      </c>
      <c r="AU76" s="686">
        <f t="shared" si="26"/>
        <v>82</v>
      </c>
      <c r="AV76" s="665">
        <f t="shared" si="30"/>
        <v>96</v>
      </c>
      <c r="AW76" s="687">
        <f t="shared" si="27"/>
        <v>0.1707317073170731</v>
      </c>
      <c r="AX76" s="702">
        <f t="shared" si="28"/>
        <v>101</v>
      </c>
      <c r="AY76" s="687">
        <f t="shared" si="31"/>
        <v>5.2083333333333259E-2</v>
      </c>
      <c r="AZ76" s="687"/>
      <c r="BA76" s="687"/>
      <c r="BB76" s="702"/>
      <c r="BC76" s="688">
        <f t="shared" si="29"/>
        <v>0.26301369863013696</v>
      </c>
    </row>
    <row r="77" spans="1:55" x14ac:dyDescent="0.25">
      <c r="C77" s="662" t="s">
        <v>961</v>
      </c>
      <c r="D77" s="663"/>
      <c r="E77" s="662">
        <v>1</v>
      </c>
      <c r="F77" s="662">
        <v>4</v>
      </c>
      <c r="G77" s="662">
        <v>1</v>
      </c>
      <c r="H77" s="662">
        <v>1</v>
      </c>
      <c r="I77" s="662">
        <v>2</v>
      </c>
      <c r="K77" s="662">
        <v>2</v>
      </c>
      <c r="L77" s="662">
        <v>2</v>
      </c>
      <c r="P77" s="662">
        <v>4</v>
      </c>
      <c r="Q77" s="681">
        <f t="shared" si="24"/>
        <v>17</v>
      </c>
      <c r="R77" s="691"/>
      <c r="S77" s="662">
        <v>5</v>
      </c>
      <c r="T77" s="662">
        <v>1</v>
      </c>
      <c r="U77" s="662">
        <v>2</v>
      </c>
      <c r="W77" s="683">
        <v>2</v>
      </c>
      <c r="X77" s="683">
        <v>0</v>
      </c>
      <c r="Y77" s="683">
        <v>2</v>
      </c>
      <c r="Z77" s="683">
        <v>2</v>
      </c>
      <c r="AA77" s="683">
        <v>0</v>
      </c>
      <c r="AB77" s="683">
        <v>0</v>
      </c>
      <c r="AC77" s="683">
        <v>0</v>
      </c>
      <c r="AD77" s="683">
        <v>4</v>
      </c>
      <c r="AE77" s="684">
        <f t="shared" si="33"/>
        <v>18</v>
      </c>
      <c r="AG77" s="692">
        <v>2</v>
      </c>
      <c r="AH77" s="692">
        <v>1</v>
      </c>
      <c r="AI77" s="692">
        <v>2</v>
      </c>
      <c r="AJ77" s="692">
        <v>1</v>
      </c>
      <c r="AK77" s="692">
        <v>2</v>
      </c>
      <c r="AL77" s="692">
        <v>1</v>
      </c>
      <c r="AM77" s="692">
        <v>2</v>
      </c>
      <c r="AN77" s="692">
        <v>1</v>
      </c>
      <c r="AO77" s="692">
        <v>2</v>
      </c>
      <c r="AP77" s="692">
        <v>1</v>
      </c>
      <c r="AQ77" s="692">
        <v>2</v>
      </c>
      <c r="AR77" s="692">
        <v>1</v>
      </c>
      <c r="AS77" s="685">
        <f t="shared" si="35"/>
        <v>18</v>
      </c>
      <c r="AU77" s="686">
        <f t="shared" si="26"/>
        <v>17</v>
      </c>
      <c r="AV77" s="665">
        <f t="shared" si="30"/>
        <v>18</v>
      </c>
      <c r="AW77" s="687">
        <f t="shared" si="27"/>
        <v>5.8823529411764719E-2</v>
      </c>
      <c r="AX77" s="702">
        <f t="shared" si="28"/>
        <v>18</v>
      </c>
      <c r="AY77" s="687">
        <f t="shared" si="31"/>
        <v>0</v>
      </c>
      <c r="AZ77" s="687"/>
      <c r="BA77" s="687"/>
      <c r="BB77" s="702"/>
      <c r="BC77" s="688">
        <f t="shared" si="29"/>
        <v>4.9315068493150684E-2</v>
      </c>
    </row>
    <row r="78" spans="1:55" x14ac:dyDescent="0.25">
      <c r="B78" s="662" t="s">
        <v>988</v>
      </c>
      <c r="C78" s="662" t="s">
        <v>939</v>
      </c>
      <c r="D78" s="663" t="s">
        <v>989</v>
      </c>
      <c r="E78" s="662">
        <v>6</v>
      </c>
      <c r="F78" s="662">
        <v>6</v>
      </c>
      <c r="G78" s="662">
        <v>5</v>
      </c>
      <c r="H78" s="662">
        <v>1</v>
      </c>
      <c r="I78" s="662">
        <v>7</v>
      </c>
      <c r="J78" s="662">
        <v>5</v>
      </c>
      <c r="K78" s="662">
        <v>1</v>
      </c>
      <c r="L78" s="662">
        <v>5</v>
      </c>
      <c r="M78" s="662">
        <v>6</v>
      </c>
      <c r="N78" s="662">
        <v>4</v>
      </c>
      <c r="O78" s="662">
        <v>4</v>
      </c>
      <c r="P78" s="662">
        <v>4</v>
      </c>
      <c r="Q78" s="681">
        <f t="shared" si="24"/>
        <v>54</v>
      </c>
      <c r="R78" s="691"/>
      <c r="S78" s="662">
        <v>5</v>
      </c>
      <c r="T78" s="662">
        <v>5</v>
      </c>
      <c r="U78" s="662">
        <v>7</v>
      </c>
      <c r="V78" s="662">
        <v>3</v>
      </c>
      <c r="W78" s="683">
        <v>4</v>
      </c>
      <c r="X78" s="683">
        <v>4</v>
      </c>
      <c r="Y78" s="683">
        <v>4</v>
      </c>
      <c r="Z78" s="683"/>
      <c r="AA78" s="683">
        <v>0</v>
      </c>
      <c r="AB78" s="683">
        <v>0</v>
      </c>
      <c r="AC78" s="683">
        <v>0</v>
      </c>
      <c r="AD78" s="683">
        <v>0</v>
      </c>
      <c r="AE78" s="684">
        <f t="shared" si="33"/>
        <v>32</v>
      </c>
      <c r="AG78" s="692">
        <v>3</v>
      </c>
      <c r="AH78" s="692">
        <v>3</v>
      </c>
      <c r="AI78" s="692">
        <v>3</v>
      </c>
      <c r="AJ78" s="692">
        <v>3</v>
      </c>
      <c r="AK78" s="692">
        <v>3</v>
      </c>
      <c r="AL78" s="692">
        <v>3</v>
      </c>
      <c r="AM78" s="692">
        <v>3</v>
      </c>
      <c r="AN78" s="692">
        <v>3</v>
      </c>
      <c r="AO78" s="692">
        <v>3</v>
      </c>
      <c r="AP78" s="692">
        <v>3</v>
      </c>
      <c r="AQ78" s="692">
        <v>3</v>
      </c>
      <c r="AR78" s="692">
        <v>3</v>
      </c>
      <c r="AS78" s="685">
        <f t="shared" si="35"/>
        <v>36</v>
      </c>
      <c r="AU78" s="686">
        <f t="shared" si="26"/>
        <v>54</v>
      </c>
      <c r="AV78" s="665">
        <f t="shared" si="30"/>
        <v>32</v>
      </c>
      <c r="AW78" s="687">
        <f t="shared" si="27"/>
        <v>-0.40740740740740744</v>
      </c>
      <c r="AX78" s="702">
        <f t="shared" si="28"/>
        <v>36</v>
      </c>
      <c r="AY78" s="687">
        <f t="shared" si="31"/>
        <v>0.125</v>
      </c>
      <c r="AZ78" s="687"/>
      <c r="BA78" s="687"/>
      <c r="BB78" s="702"/>
      <c r="BC78" s="688">
        <f t="shared" si="29"/>
        <v>0.15342465753424658</v>
      </c>
    </row>
    <row r="79" spans="1:55" x14ac:dyDescent="0.25">
      <c r="C79" s="662" t="s">
        <v>961</v>
      </c>
      <c r="D79" s="663"/>
      <c r="E79" s="662">
        <v>9</v>
      </c>
      <c r="F79" s="662">
        <v>7</v>
      </c>
      <c r="G79" s="662">
        <v>8</v>
      </c>
      <c r="H79" s="662">
        <v>4</v>
      </c>
      <c r="I79" s="662">
        <v>7</v>
      </c>
      <c r="J79" s="662">
        <v>9</v>
      </c>
      <c r="K79" s="662">
        <v>8</v>
      </c>
      <c r="L79" s="662">
        <v>9</v>
      </c>
      <c r="M79" s="662">
        <v>10</v>
      </c>
      <c r="N79" s="662">
        <v>12</v>
      </c>
      <c r="O79" s="662">
        <v>10</v>
      </c>
      <c r="P79" s="662">
        <v>9</v>
      </c>
      <c r="Q79" s="681">
        <f t="shared" si="24"/>
        <v>102</v>
      </c>
      <c r="R79" s="691"/>
      <c r="S79" s="662">
        <v>9</v>
      </c>
      <c r="T79" s="662">
        <v>6</v>
      </c>
      <c r="U79" s="662">
        <v>7</v>
      </c>
      <c r="V79" s="662">
        <v>10</v>
      </c>
      <c r="W79" s="683">
        <v>3</v>
      </c>
      <c r="X79" s="683">
        <v>3</v>
      </c>
      <c r="Y79" s="683">
        <v>3</v>
      </c>
      <c r="Z79" s="683">
        <v>0</v>
      </c>
      <c r="AA79" s="683">
        <v>0</v>
      </c>
      <c r="AB79" s="683">
        <v>0</v>
      </c>
      <c r="AC79" s="683">
        <v>0</v>
      </c>
      <c r="AD79" s="683">
        <v>0</v>
      </c>
      <c r="AE79" s="684">
        <f t="shared" ref="AE79:AE142" si="36">SUM(S79:AD79)</f>
        <v>41</v>
      </c>
      <c r="AG79" s="692">
        <v>10</v>
      </c>
      <c r="AH79" s="692">
        <v>10</v>
      </c>
      <c r="AI79" s="692">
        <v>10</v>
      </c>
      <c r="AJ79" s="692">
        <v>10</v>
      </c>
      <c r="AK79" s="692">
        <v>10</v>
      </c>
      <c r="AL79" s="692">
        <v>10</v>
      </c>
      <c r="AM79" s="692">
        <v>10</v>
      </c>
      <c r="AN79" s="692">
        <v>10</v>
      </c>
      <c r="AO79" s="692">
        <v>10</v>
      </c>
      <c r="AP79" s="692">
        <v>10</v>
      </c>
      <c r="AQ79" s="692">
        <v>10</v>
      </c>
      <c r="AR79" s="692">
        <v>10</v>
      </c>
      <c r="AS79" s="685">
        <f t="shared" si="35"/>
        <v>120</v>
      </c>
      <c r="AU79" s="686">
        <f t="shared" si="26"/>
        <v>102</v>
      </c>
      <c r="AV79" s="665">
        <f t="shared" si="30"/>
        <v>41</v>
      </c>
      <c r="AW79" s="687">
        <f t="shared" si="27"/>
        <v>-0.59803921568627449</v>
      </c>
      <c r="AX79" s="702">
        <f t="shared" si="28"/>
        <v>120</v>
      </c>
      <c r="AY79" s="687">
        <f t="shared" si="31"/>
        <v>1.9268292682926829</v>
      </c>
      <c r="AZ79" s="687"/>
      <c r="BA79" s="687"/>
      <c r="BB79" s="702"/>
      <c r="BC79" s="688">
        <f t="shared" si="29"/>
        <v>0.29041095890410956</v>
      </c>
    </row>
    <row r="80" spans="1:55" x14ac:dyDescent="0.25">
      <c r="B80" s="662" t="s">
        <v>990</v>
      </c>
      <c r="C80" s="662" t="s">
        <v>939</v>
      </c>
      <c r="D80" s="663"/>
      <c r="E80" s="662">
        <v>8</v>
      </c>
      <c r="F80" s="662">
        <v>11</v>
      </c>
      <c r="G80" s="662">
        <v>9</v>
      </c>
      <c r="H80" s="662">
        <v>10</v>
      </c>
      <c r="I80" s="662">
        <v>10</v>
      </c>
      <c r="J80" s="662">
        <v>3</v>
      </c>
      <c r="K80" s="662">
        <v>10</v>
      </c>
      <c r="L80" s="662">
        <v>5</v>
      </c>
      <c r="M80" s="662">
        <v>8</v>
      </c>
      <c r="N80" s="662">
        <v>10</v>
      </c>
      <c r="O80" s="662">
        <v>10</v>
      </c>
      <c r="P80" s="662">
        <v>3</v>
      </c>
      <c r="Q80" s="681">
        <f t="shared" si="24"/>
        <v>97</v>
      </c>
      <c r="R80" s="691"/>
      <c r="S80" s="662">
        <v>7</v>
      </c>
      <c r="T80" s="662">
        <v>10</v>
      </c>
      <c r="U80" s="662">
        <v>6</v>
      </c>
      <c r="V80" s="662">
        <v>9</v>
      </c>
      <c r="W80" s="683">
        <v>10</v>
      </c>
      <c r="X80" s="683">
        <v>3</v>
      </c>
      <c r="Y80" s="683">
        <v>10</v>
      </c>
      <c r="Z80" s="683">
        <v>5</v>
      </c>
      <c r="AA80" s="683">
        <v>8</v>
      </c>
      <c r="AB80" s="683">
        <v>10</v>
      </c>
      <c r="AC80" s="683">
        <v>10</v>
      </c>
      <c r="AD80" s="683">
        <v>3</v>
      </c>
      <c r="AE80" s="684">
        <f t="shared" si="36"/>
        <v>91</v>
      </c>
      <c r="AG80" s="692">
        <v>8</v>
      </c>
      <c r="AH80" s="692">
        <v>7</v>
      </c>
      <c r="AI80" s="692">
        <v>8</v>
      </c>
      <c r="AJ80" s="692">
        <v>7</v>
      </c>
      <c r="AK80" s="692">
        <v>8</v>
      </c>
      <c r="AL80" s="692">
        <v>7</v>
      </c>
      <c r="AM80" s="692">
        <v>8</v>
      </c>
      <c r="AN80" s="692">
        <v>8</v>
      </c>
      <c r="AO80" s="692">
        <v>7</v>
      </c>
      <c r="AP80" s="692">
        <v>8</v>
      </c>
      <c r="AQ80" s="692">
        <v>7</v>
      </c>
      <c r="AR80" s="692">
        <v>8</v>
      </c>
      <c r="AS80" s="685">
        <f t="shared" si="35"/>
        <v>91</v>
      </c>
      <c r="AU80" s="686">
        <f t="shared" si="26"/>
        <v>97</v>
      </c>
      <c r="AV80" s="665">
        <f t="shared" si="30"/>
        <v>91</v>
      </c>
      <c r="AW80" s="687">
        <f t="shared" si="27"/>
        <v>-6.1855670103092786E-2</v>
      </c>
      <c r="AX80" s="702">
        <f t="shared" si="28"/>
        <v>91</v>
      </c>
      <c r="AY80" s="687">
        <f t="shared" si="31"/>
        <v>0</v>
      </c>
      <c r="AZ80" s="687"/>
      <c r="BA80" s="687"/>
      <c r="BB80" s="702"/>
      <c r="BC80" s="688">
        <f t="shared" si="29"/>
        <v>0.24931506849315069</v>
      </c>
    </row>
    <row r="81" spans="1:55" x14ac:dyDescent="0.25">
      <c r="C81" s="662" t="s">
        <v>961</v>
      </c>
      <c r="D81" s="663"/>
      <c r="E81" s="664"/>
      <c r="F81" s="664"/>
      <c r="G81" s="664"/>
      <c r="H81" s="664"/>
      <c r="I81" s="664"/>
      <c r="J81" s="664"/>
      <c r="K81" s="664">
        <v>1</v>
      </c>
      <c r="L81" s="664"/>
      <c r="M81" s="664"/>
      <c r="N81" s="664"/>
      <c r="O81" s="664"/>
      <c r="P81" s="681"/>
      <c r="Q81" s="681">
        <f t="shared" si="24"/>
        <v>1</v>
      </c>
      <c r="R81" s="681"/>
      <c r="W81" s="683">
        <v>0</v>
      </c>
      <c r="X81" s="683">
        <v>0</v>
      </c>
      <c r="Y81" s="683">
        <v>0</v>
      </c>
      <c r="Z81" s="683">
        <v>0</v>
      </c>
      <c r="AA81" s="683">
        <v>0</v>
      </c>
      <c r="AB81" s="683">
        <v>0</v>
      </c>
      <c r="AC81" s="683">
        <v>0</v>
      </c>
      <c r="AD81" s="683">
        <v>0</v>
      </c>
      <c r="AE81" s="684">
        <f t="shared" si="36"/>
        <v>0</v>
      </c>
      <c r="AG81" s="701">
        <v>0</v>
      </c>
      <c r="AH81" s="701">
        <v>0</v>
      </c>
      <c r="AI81" s="701">
        <v>0</v>
      </c>
      <c r="AJ81" s="701">
        <v>0</v>
      </c>
      <c r="AK81" s="701">
        <v>0</v>
      </c>
      <c r="AL81" s="701">
        <v>0</v>
      </c>
      <c r="AM81" s="701">
        <v>0</v>
      </c>
      <c r="AN81" s="701">
        <v>0</v>
      </c>
      <c r="AO81" s="701">
        <v>0</v>
      </c>
      <c r="AP81" s="701">
        <v>0</v>
      </c>
      <c r="AQ81" s="701">
        <v>0</v>
      </c>
      <c r="AR81" s="701">
        <v>0</v>
      </c>
      <c r="AS81" s="685">
        <f t="shared" si="35"/>
        <v>0</v>
      </c>
      <c r="AU81" s="686">
        <f t="shared" si="26"/>
        <v>1</v>
      </c>
      <c r="AV81" s="665">
        <f t="shared" si="30"/>
        <v>0</v>
      </c>
      <c r="AW81" s="687">
        <f t="shared" si="27"/>
        <v>-1</v>
      </c>
      <c r="AX81" s="702">
        <f t="shared" si="28"/>
        <v>0</v>
      </c>
      <c r="AY81" s="687">
        <v>0</v>
      </c>
      <c r="AZ81" s="687"/>
      <c r="BA81" s="687"/>
      <c r="BB81" s="702"/>
      <c r="BC81" s="688">
        <f t="shared" si="29"/>
        <v>2.7397260273972603E-3</v>
      </c>
    </row>
    <row r="82" spans="1:55" x14ac:dyDescent="0.25">
      <c r="B82" s="662" t="s">
        <v>991</v>
      </c>
      <c r="C82" s="662" t="s">
        <v>939</v>
      </c>
      <c r="D82" s="663"/>
      <c r="E82" s="662">
        <v>7</v>
      </c>
      <c r="F82" s="662">
        <v>17</v>
      </c>
      <c r="G82" s="662">
        <v>9</v>
      </c>
      <c r="H82" s="662">
        <v>19</v>
      </c>
      <c r="I82" s="662">
        <v>12</v>
      </c>
      <c r="J82" s="662">
        <v>12</v>
      </c>
      <c r="K82" s="662">
        <v>13</v>
      </c>
      <c r="L82" s="662">
        <v>7</v>
      </c>
      <c r="M82" s="662">
        <v>16</v>
      </c>
      <c r="N82" s="662">
        <v>14</v>
      </c>
      <c r="O82" s="662">
        <v>10</v>
      </c>
      <c r="P82" s="662">
        <v>14</v>
      </c>
      <c r="Q82" s="681">
        <f t="shared" si="24"/>
        <v>150</v>
      </c>
      <c r="R82" s="691"/>
      <c r="S82" s="662">
        <v>23</v>
      </c>
      <c r="T82" s="662">
        <v>12</v>
      </c>
      <c r="U82" s="662">
        <v>18</v>
      </c>
      <c r="V82" s="662">
        <v>17</v>
      </c>
      <c r="W82" s="683">
        <v>12</v>
      </c>
      <c r="X82" s="683">
        <v>12</v>
      </c>
      <c r="Y82" s="683">
        <v>13</v>
      </c>
      <c r="Z82" s="683">
        <v>7</v>
      </c>
      <c r="AA82" s="683">
        <v>16</v>
      </c>
      <c r="AB82" s="683">
        <v>14</v>
      </c>
      <c r="AC82" s="683">
        <v>10</v>
      </c>
      <c r="AD82" s="683">
        <v>14</v>
      </c>
      <c r="AE82" s="684">
        <f t="shared" si="36"/>
        <v>168</v>
      </c>
      <c r="AG82" s="692">
        <v>15</v>
      </c>
      <c r="AH82" s="692">
        <v>15</v>
      </c>
      <c r="AI82" s="692">
        <v>15</v>
      </c>
      <c r="AJ82" s="692">
        <v>15</v>
      </c>
      <c r="AK82" s="692">
        <v>15</v>
      </c>
      <c r="AL82" s="692">
        <v>15</v>
      </c>
      <c r="AM82" s="692">
        <v>14</v>
      </c>
      <c r="AN82" s="692">
        <v>8</v>
      </c>
      <c r="AO82" s="692">
        <v>15</v>
      </c>
      <c r="AP82" s="692">
        <v>15</v>
      </c>
      <c r="AQ82" s="692">
        <v>15</v>
      </c>
      <c r="AR82" s="692">
        <v>15</v>
      </c>
      <c r="AS82" s="685">
        <f t="shared" si="35"/>
        <v>172</v>
      </c>
      <c r="AU82" s="686">
        <f t="shared" si="26"/>
        <v>150</v>
      </c>
      <c r="AV82" s="665">
        <f t="shared" si="30"/>
        <v>168</v>
      </c>
      <c r="AW82" s="687">
        <f t="shared" si="27"/>
        <v>0.12000000000000011</v>
      </c>
      <c r="AX82" s="702">
        <f t="shared" si="28"/>
        <v>172</v>
      </c>
      <c r="AY82" s="687">
        <f t="shared" si="31"/>
        <v>2.3809523809523725E-2</v>
      </c>
      <c r="AZ82" s="687"/>
      <c r="BA82" s="687"/>
      <c r="BB82" s="702"/>
      <c r="BC82" s="688">
        <f t="shared" si="29"/>
        <v>0.46027397260273972</v>
      </c>
    </row>
    <row r="83" spans="1:55" x14ac:dyDescent="0.25">
      <c r="C83" s="662" t="s">
        <v>961</v>
      </c>
      <c r="D83" s="663"/>
      <c r="F83" s="662">
        <v>2</v>
      </c>
      <c r="Q83" s="681">
        <f t="shared" si="24"/>
        <v>2</v>
      </c>
      <c r="R83" s="691"/>
      <c r="W83" s="683">
        <f t="shared" ref="W83:X117" si="37">$BC83*W$1</f>
        <v>0</v>
      </c>
      <c r="X83" s="683">
        <f t="shared" si="37"/>
        <v>0</v>
      </c>
      <c r="Y83" s="683">
        <f t="shared" si="23"/>
        <v>0</v>
      </c>
      <c r="Z83" s="683">
        <f t="shared" si="23"/>
        <v>0</v>
      </c>
      <c r="AA83" s="683">
        <f t="shared" si="23"/>
        <v>0</v>
      </c>
      <c r="AB83" s="683">
        <f t="shared" si="23"/>
        <v>0</v>
      </c>
      <c r="AC83" s="683">
        <f t="shared" si="23"/>
        <v>0</v>
      </c>
      <c r="AD83" s="683">
        <f t="shared" si="23"/>
        <v>0</v>
      </c>
      <c r="AE83" s="684">
        <f t="shared" si="36"/>
        <v>0</v>
      </c>
      <c r="AG83" s="692">
        <v>0</v>
      </c>
      <c r="AH83" s="692">
        <v>0</v>
      </c>
      <c r="AI83" s="692">
        <v>0</v>
      </c>
      <c r="AJ83" s="692">
        <v>0</v>
      </c>
      <c r="AK83" s="692">
        <v>0</v>
      </c>
      <c r="AL83" s="692">
        <v>0</v>
      </c>
      <c r="AM83" s="692">
        <v>0</v>
      </c>
      <c r="AN83" s="692">
        <v>0</v>
      </c>
      <c r="AO83" s="692">
        <v>0</v>
      </c>
      <c r="AP83" s="692">
        <v>0</v>
      </c>
      <c r="AQ83" s="692">
        <v>0</v>
      </c>
      <c r="AR83" s="692">
        <v>0</v>
      </c>
      <c r="AS83" s="685">
        <f t="shared" si="35"/>
        <v>0</v>
      </c>
      <c r="AU83" s="686">
        <f t="shared" si="26"/>
        <v>2</v>
      </c>
      <c r="AV83" s="665">
        <f t="shared" si="30"/>
        <v>0</v>
      </c>
      <c r="AW83" s="687">
        <f t="shared" si="27"/>
        <v>-1</v>
      </c>
      <c r="AX83" s="702">
        <f t="shared" si="28"/>
        <v>0</v>
      </c>
      <c r="AY83" s="687">
        <v>0</v>
      </c>
      <c r="AZ83" s="687"/>
      <c r="BA83" s="687"/>
      <c r="BB83" s="702"/>
      <c r="BC83" s="688">
        <f t="shared" si="29"/>
        <v>0</v>
      </c>
    </row>
    <row r="84" spans="1:55" x14ac:dyDescent="0.25">
      <c r="B84" s="662" t="s">
        <v>992</v>
      </c>
      <c r="C84" s="662" t="s">
        <v>939</v>
      </c>
      <c r="D84" s="663"/>
      <c r="E84" s="662">
        <v>1</v>
      </c>
      <c r="F84" s="662">
        <v>2</v>
      </c>
      <c r="G84" s="662">
        <v>8</v>
      </c>
      <c r="H84" s="662">
        <v>4</v>
      </c>
      <c r="I84" s="662">
        <v>4</v>
      </c>
      <c r="J84" s="662">
        <v>2</v>
      </c>
      <c r="K84" s="662">
        <v>3</v>
      </c>
      <c r="L84" s="662">
        <v>7</v>
      </c>
      <c r="M84" s="662">
        <v>8</v>
      </c>
      <c r="N84" s="662">
        <v>5</v>
      </c>
      <c r="O84" s="662">
        <v>1</v>
      </c>
      <c r="P84" s="662">
        <v>5</v>
      </c>
      <c r="Q84" s="681">
        <f t="shared" si="24"/>
        <v>50</v>
      </c>
      <c r="R84" s="691"/>
      <c r="S84" s="662">
        <v>2</v>
      </c>
      <c r="T84" s="662">
        <v>6</v>
      </c>
      <c r="U84" s="662">
        <v>2</v>
      </c>
      <c r="V84" s="662">
        <v>5</v>
      </c>
      <c r="W84" s="683">
        <v>4</v>
      </c>
      <c r="X84" s="683">
        <v>2</v>
      </c>
      <c r="Y84" s="683">
        <v>3</v>
      </c>
      <c r="Z84" s="683">
        <v>7</v>
      </c>
      <c r="AA84" s="683">
        <v>8</v>
      </c>
      <c r="AB84" s="683">
        <v>5</v>
      </c>
      <c r="AC84" s="683">
        <v>1</v>
      </c>
      <c r="AD84" s="683">
        <v>5</v>
      </c>
      <c r="AE84" s="684">
        <f t="shared" si="36"/>
        <v>50</v>
      </c>
      <c r="AG84" s="692">
        <v>4</v>
      </c>
      <c r="AH84" s="692">
        <v>4</v>
      </c>
      <c r="AI84" s="692">
        <v>4</v>
      </c>
      <c r="AJ84" s="692">
        <v>5</v>
      </c>
      <c r="AK84" s="692">
        <v>4</v>
      </c>
      <c r="AL84" s="692">
        <v>4</v>
      </c>
      <c r="AM84" s="692">
        <v>4</v>
      </c>
      <c r="AN84" s="692">
        <v>5</v>
      </c>
      <c r="AO84" s="692">
        <v>4</v>
      </c>
      <c r="AP84" s="692">
        <v>4</v>
      </c>
      <c r="AQ84" s="692">
        <v>4</v>
      </c>
      <c r="AR84" s="692">
        <v>5</v>
      </c>
      <c r="AS84" s="685">
        <f t="shared" si="35"/>
        <v>51</v>
      </c>
      <c r="AU84" s="686">
        <f t="shared" si="26"/>
        <v>50</v>
      </c>
      <c r="AV84" s="665">
        <f t="shared" si="30"/>
        <v>50</v>
      </c>
      <c r="AW84" s="687">
        <f t="shared" si="27"/>
        <v>0</v>
      </c>
      <c r="AX84" s="702">
        <f t="shared" si="28"/>
        <v>51</v>
      </c>
      <c r="AY84" s="687">
        <f t="shared" si="31"/>
        <v>2.0000000000000018E-2</v>
      </c>
      <c r="AZ84" s="687"/>
      <c r="BA84" s="687"/>
      <c r="BB84" s="702"/>
      <c r="BC84" s="688">
        <f t="shared" si="29"/>
        <v>0.13698630136986301</v>
      </c>
    </row>
    <row r="85" spans="1:55" x14ac:dyDescent="0.25">
      <c r="C85" s="662" t="s">
        <v>961</v>
      </c>
      <c r="D85" s="663"/>
      <c r="E85" s="662">
        <v>9</v>
      </c>
      <c r="F85" s="662">
        <v>10</v>
      </c>
      <c r="G85" s="662">
        <v>9</v>
      </c>
      <c r="H85" s="662">
        <v>11</v>
      </c>
      <c r="I85" s="662">
        <v>9</v>
      </c>
      <c r="J85" s="662">
        <v>10</v>
      </c>
      <c r="K85" s="662">
        <v>12</v>
      </c>
      <c r="L85" s="662">
        <v>6</v>
      </c>
      <c r="M85" s="662">
        <v>9</v>
      </c>
      <c r="N85" s="662">
        <v>7</v>
      </c>
      <c r="O85" s="662">
        <v>15</v>
      </c>
      <c r="P85" s="662">
        <v>13</v>
      </c>
      <c r="Q85" s="681">
        <f t="shared" si="24"/>
        <v>120</v>
      </c>
      <c r="R85" s="691"/>
      <c r="S85" s="662">
        <v>4</v>
      </c>
      <c r="T85" s="662">
        <v>14</v>
      </c>
      <c r="U85" s="662">
        <v>8</v>
      </c>
      <c r="V85" s="662">
        <v>8</v>
      </c>
      <c r="W85" s="683">
        <f t="shared" si="37"/>
        <v>9.4520547945205475</v>
      </c>
      <c r="X85" s="683">
        <f t="shared" si="37"/>
        <v>9.7671232876712324</v>
      </c>
      <c r="Y85" s="683">
        <v>12</v>
      </c>
      <c r="Z85" s="683">
        <v>6</v>
      </c>
      <c r="AA85" s="683">
        <v>9</v>
      </c>
      <c r="AB85" s="683">
        <v>7</v>
      </c>
      <c r="AC85" s="683">
        <v>15</v>
      </c>
      <c r="AD85" s="683">
        <v>13</v>
      </c>
      <c r="AE85" s="684">
        <f t="shared" si="36"/>
        <v>115.21917808219177</v>
      </c>
      <c r="AG85" s="692">
        <v>9</v>
      </c>
      <c r="AH85" s="692">
        <v>9</v>
      </c>
      <c r="AI85" s="692">
        <v>10</v>
      </c>
      <c r="AJ85" s="692">
        <v>10</v>
      </c>
      <c r="AK85" s="692">
        <v>9</v>
      </c>
      <c r="AL85" s="692">
        <v>9</v>
      </c>
      <c r="AM85" s="692">
        <v>9</v>
      </c>
      <c r="AN85" s="692">
        <v>10</v>
      </c>
      <c r="AO85" s="692">
        <v>10</v>
      </c>
      <c r="AP85" s="692">
        <v>10</v>
      </c>
      <c r="AQ85" s="692">
        <v>10</v>
      </c>
      <c r="AR85" s="692">
        <v>10</v>
      </c>
      <c r="AS85" s="685">
        <f t="shared" si="35"/>
        <v>115</v>
      </c>
      <c r="AU85" s="686">
        <f t="shared" si="26"/>
        <v>120</v>
      </c>
      <c r="AV85" s="665">
        <f t="shared" si="30"/>
        <v>115.21917808219177</v>
      </c>
      <c r="AW85" s="687">
        <f t="shared" si="27"/>
        <v>-3.9840182648401834E-2</v>
      </c>
      <c r="AX85" s="702">
        <f t="shared" si="28"/>
        <v>115</v>
      </c>
      <c r="AY85" s="687">
        <f t="shared" si="31"/>
        <v>-1.9022708358101825E-3</v>
      </c>
      <c r="AZ85" s="687"/>
      <c r="BA85" s="687"/>
      <c r="BB85" s="702"/>
      <c r="BC85" s="688">
        <f t="shared" si="29"/>
        <v>0.31506849315068491</v>
      </c>
    </row>
    <row r="86" spans="1:55" x14ac:dyDescent="0.25">
      <c r="B86" s="662" t="s">
        <v>993</v>
      </c>
      <c r="C86" s="662" t="s">
        <v>939</v>
      </c>
      <c r="D86" s="663"/>
      <c r="E86" s="662">
        <v>5</v>
      </c>
      <c r="F86" s="662">
        <v>8</v>
      </c>
      <c r="G86" s="662">
        <v>6</v>
      </c>
      <c r="H86" s="662">
        <v>12</v>
      </c>
      <c r="I86" s="662">
        <v>5</v>
      </c>
      <c r="J86" s="662">
        <v>7</v>
      </c>
      <c r="K86" s="662">
        <v>9</v>
      </c>
      <c r="L86" s="662">
        <v>6</v>
      </c>
      <c r="M86" s="662">
        <v>7</v>
      </c>
      <c r="N86" s="662">
        <v>8</v>
      </c>
      <c r="O86" s="662">
        <v>7</v>
      </c>
      <c r="P86" s="662">
        <v>7</v>
      </c>
      <c r="Q86" s="681">
        <f t="shared" si="24"/>
        <v>87</v>
      </c>
      <c r="R86" s="691"/>
      <c r="S86" s="662">
        <v>4</v>
      </c>
      <c r="T86" s="662">
        <v>7</v>
      </c>
      <c r="U86" s="662">
        <v>8</v>
      </c>
      <c r="V86" s="662">
        <v>6</v>
      </c>
      <c r="W86" s="683">
        <v>5</v>
      </c>
      <c r="X86" s="683">
        <v>7</v>
      </c>
      <c r="Y86" s="683">
        <v>9</v>
      </c>
      <c r="Z86" s="683">
        <v>6</v>
      </c>
      <c r="AA86" s="683">
        <v>7</v>
      </c>
      <c r="AB86" s="683">
        <v>8</v>
      </c>
      <c r="AC86" s="683">
        <v>7</v>
      </c>
      <c r="AD86" s="683">
        <v>7</v>
      </c>
      <c r="AE86" s="684">
        <f t="shared" si="36"/>
        <v>81</v>
      </c>
      <c r="AG86" s="692">
        <v>7</v>
      </c>
      <c r="AH86" s="692">
        <v>7</v>
      </c>
      <c r="AI86" s="692">
        <v>7</v>
      </c>
      <c r="AJ86" s="692">
        <v>7</v>
      </c>
      <c r="AK86" s="692">
        <v>6</v>
      </c>
      <c r="AL86" s="692">
        <v>6</v>
      </c>
      <c r="AM86" s="692">
        <v>6</v>
      </c>
      <c r="AN86" s="692">
        <v>7</v>
      </c>
      <c r="AO86" s="692">
        <v>7</v>
      </c>
      <c r="AP86" s="692">
        <v>7</v>
      </c>
      <c r="AQ86" s="692">
        <v>7</v>
      </c>
      <c r="AR86" s="692">
        <v>7</v>
      </c>
      <c r="AS86" s="685">
        <f t="shared" si="35"/>
        <v>81</v>
      </c>
      <c r="AU86" s="686">
        <f t="shared" si="26"/>
        <v>87</v>
      </c>
      <c r="AV86" s="665">
        <f t="shared" si="30"/>
        <v>81</v>
      </c>
      <c r="AW86" s="687">
        <f t="shared" si="27"/>
        <v>-6.8965517241379337E-2</v>
      </c>
      <c r="AX86" s="702">
        <f t="shared" si="28"/>
        <v>81</v>
      </c>
      <c r="AY86" s="687">
        <f t="shared" si="31"/>
        <v>0</v>
      </c>
      <c r="AZ86" s="687"/>
      <c r="BA86" s="687"/>
      <c r="BB86" s="702"/>
      <c r="BC86" s="688">
        <f t="shared" si="29"/>
        <v>0.22191780821917809</v>
      </c>
    </row>
    <row r="87" spans="1:55" x14ac:dyDescent="0.25">
      <c r="C87" s="662" t="s">
        <v>961</v>
      </c>
      <c r="D87" s="663"/>
      <c r="E87" s="662">
        <v>1</v>
      </c>
      <c r="F87" s="662">
        <v>1</v>
      </c>
      <c r="G87" s="662">
        <v>2</v>
      </c>
      <c r="H87" s="662">
        <v>2</v>
      </c>
      <c r="I87" s="662">
        <v>5</v>
      </c>
      <c r="L87" s="662">
        <v>1</v>
      </c>
      <c r="P87" s="662">
        <v>1</v>
      </c>
      <c r="Q87" s="681">
        <f t="shared" si="24"/>
        <v>13</v>
      </c>
      <c r="R87" s="691"/>
      <c r="S87" s="662">
        <v>2</v>
      </c>
      <c r="W87" s="683">
        <v>1</v>
      </c>
      <c r="X87" s="683">
        <v>0</v>
      </c>
      <c r="Y87" s="683">
        <v>0</v>
      </c>
      <c r="Z87" s="683">
        <v>0</v>
      </c>
      <c r="AA87" s="683">
        <v>1</v>
      </c>
      <c r="AB87" s="683">
        <v>0</v>
      </c>
      <c r="AC87" s="683">
        <v>0</v>
      </c>
      <c r="AD87" s="683">
        <v>0</v>
      </c>
      <c r="AE87" s="684">
        <f t="shared" si="36"/>
        <v>4</v>
      </c>
      <c r="AG87" s="692">
        <v>1</v>
      </c>
      <c r="AH87" s="692">
        <v>0</v>
      </c>
      <c r="AI87" s="692">
        <v>0</v>
      </c>
      <c r="AJ87" s="692">
        <v>1</v>
      </c>
      <c r="AK87" s="692">
        <v>0</v>
      </c>
      <c r="AL87" s="692">
        <v>0</v>
      </c>
      <c r="AM87" s="692">
        <v>1</v>
      </c>
      <c r="AN87" s="692">
        <v>0</v>
      </c>
      <c r="AO87" s="692">
        <v>0</v>
      </c>
      <c r="AP87" s="692">
        <v>1</v>
      </c>
      <c r="AQ87" s="692">
        <v>0</v>
      </c>
      <c r="AR87" s="692">
        <v>0</v>
      </c>
      <c r="AS87" s="685">
        <f t="shared" si="35"/>
        <v>4</v>
      </c>
      <c r="AU87" s="686">
        <f t="shared" si="26"/>
        <v>13</v>
      </c>
      <c r="AV87" s="665">
        <f t="shared" si="30"/>
        <v>4</v>
      </c>
      <c r="AW87" s="687">
        <f t="shared" si="27"/>
        <v>-0.69230769230769229</v>
      </c>
      <c r="AX87" s="702">
        <f t="shared" si="28"/>
        <v>4</v>
      </c>
      <c r="AY87" s="687">
        <f t="shared" si="31"/>
        <v>0</v>
      </c>
      <c r="AZ87" s="687"/>
      <c r="BA87" s="687"/>
      <c r="BB87" s="702"/>
      <c r="BC87" s="688">
        <f t="shared" si="29"/>
        <v>2.4657534246575342E-2</v>
      </c>
    </row>
    <row r="88" spans="1:55" x14ac:dyDescent="0.25">
      <c r="A88" s="693" t="s">
        <v>994</v>
      </c>
      <c r="B88" s="693"/>
      <c r="C88" s="693"/>
      <c r="D88" s="694"/>
      <c r="E88" s="693">
        <v>59</v>
      </c>
      <c r="F88" s="693">
        <v>74</v>
      </c>
      <c r="G88" s="693">
        <v>60</v>
      </c>
      <c r="H88" s="693">
        <v>70</v>
      </c>
      <c r="I88" s="693">
        <v>69</v>
      </c>
      <c r="J88" s="693">
        <v>54</v>
      </c>
      <c r="K88" s="693">
        <v>65</v>
      </c>
      <c r="L88" s="693">
        <v>51</v>
      </c>
      <c r="M88" s="693">
        <v>70</v>
      </c>
      <c r="N88" s="693">
        <v>70</v>
      </c>
      <c r="O88" s="693">
        <v>62</v>
      </c>
      <c r="P88" s="693">
        <v>71</v>
      </c>
      <c r="Q88" s="695">
        <f t="shared" si="24"/>
        <v>775</v>
      </c>
      <c r="R88" s="695"/>
      <c r="S88" s="693">
        <v>70</v>
      </c>
      <c r="T88" s="693">
        <v>68</v>
      </c>
      <c r="U88" s="693">
        <v>67</v>
      </c>
      <c r="V88" s="693">
        <v>74</v>
      </c>
      <c r="W88" s="696">
        <f>SUM(W76:W87)</f>
        <v>58.452054794520549</v>
      </c>
      <c r="X88" s="696">
        <f t="shared" ref="X88:AD88" si="38">SUM(X76:X87)</f>
        <v>46.767123287671232</v>
      </c>
      <c r="Y88" s="696">
        <f t="shared" si="38"/>
        <v>62</v>
      </c>
      <c r="Z88" s="696">
        <f t="shared" si="38"/>
        <v>36</v>
      </c>
      <c r="AA88" s="696">
        <f t="shared" si="38"/>
        <v>55</v>
      </c>
      <c r="AB88" s="696">
        <f t="shared" si="38"/>
        <v>54</v>
      </c>
      <c r="AC88" s="696">
        <f t="shared" si="38"/>
        <v>48</v>
      </c>
      <c r="AD88" s="696">
        <f t="shared" si="38"/>
        <v>57</v>
      </c>
      <c r="AE88" s="697">
        <f t="shared" si="36"/>
        <v>696.21917808219177</v>
      </c>
      <c r="AF88" s="694"/>
      <c r="AG88" s="694">
        <f t="shared" ref="AG88:AR88" si="39">SUM(AG76:AG87)</f>
        <v>67</v>
      </c>
      <c r="AH88" s="694">
        <f t="shared" si="39"/>
        <v>64</v>
      </c>
      <c r="AI88" s="694">
        <f t="shared" si="39"/>
        <v>67</v>
      </c>
      <c r="AJ88" s="694">
        <f t="shared" si="39"/>
        <v>67</v>
      </c>
      <c r="AK88" s="694">
        <f t="shared" si="39"/>
        <v>65</v>
      </c>
      <c r="AL88" s="694">
        <f t="shared" si="39"/>
        <v>63</v>
      </c>
      <c r="AM88" s="694">
        <f t="shared" si="39"/>
        <v>65</v>
      </c>
      <c r="AN88" s="694">
        <f t="shared" si="39"/>
        <v>60</v>
      </c>
      <c r="AO88" s="694">
        <f t="shared" si="39"/>
        <v>66</v>
      </c>
      <c r="AP88" s="694">
        <f t="shared" si="39"/>
        <v>69</v>
      </c>
      <c r="AQ88" s="694">
        <f t="shared" si="39"/>
        <v>66</v>
      </c>
      <c r="AR88" s="694">
        <f t="shared" si="39"/>
        <v>70</v>
      </c>
      <c r="AS88" s="694">
        <f>SUM(AS76:AS87)</f>
        <v>789</v>
      </c>
      <c r="AT88" s="694"/>
      <c r="AU88" s="697">
        <f t="shared" si="26"/>
        <v>775</v>
      </c>
      <c r="AV88" s="697">
        <f t="shared" si="30"/>
        <v>696.21917808219177</v>
      </c>
      <c r="AW88" s="698">
        <f t="shared" si="27"/>
        <v>-0.1016526734423332</v>
      </c>
      <c r="AX88" s="694">
        <f t="shared" si="28"/>
        <v>789</v>
      </c>
      <c r="AY88" s="698">
        <f t="shared" si="31"/>
        <v>0.13326381237210772</v>
      </c>
      <c r="AZ88" s="698"/>
      <c r="BA88" s="698"/>
      <c r="BB88" s="702"/>
      <c r="BC88" s="688">
        <f t="shared" si="29"/>
        <v>2.1671232876712327</v>
      </c>
    </row>
    <row r="89" spans="1:55" x14ac:dyDescent="0.25">
      <c r="A89" s="664" t="s">
        <v>995</v>
      </c>
      <c r="B89" s="662" t="s">
        <v>996</v>
      </c>
      <c r="C89" s="662" t="s">
        <v>939</v>
      </c>
      <c r="D89" s="663"/>
      <c r="E89" s="662">
        <v>22</v>
      </c>
      <c r="F89" s="662">
        <v>12</v>
      </c>
      <c r="G89" s="662">
        <v>27</v>
      </c>
      <c r="H89" s="662">
        <v>10</v>
      </c>
      <c r="I89" s="662">
        <v>14</v>
      </c>
      <c r="J89" s="662">
        <v>6</v>
      </c>
      <c r="K89" s="662">
        <v>13</v>
      </c>
      <c r="L89" s="662">
        <v>29</v>
      </c>
      <c r="M89" s="662">
        <v>3</v>
      </c>
      <c r="N89" s="662">
        <v>6</v>
      </c>
      <c r="O89" s="662">
        <v>18</v>
      </c>
      <c r="P89" s="662">
        <v>12</v>
      </c>
      <c r="Q89" s="681">
        <f t="shared" si="24"/>
        <v>172</v>
      </c>
      <c r="R89" s="691"/>
      <c r="S89" s="662">
        <v>22</v>
      </c>
      <c r="T89" s="662">
        <v>30</v>
      </c>
      <c r="U89" s="662">
        <v>12</v>
      </c>
      <c r="V89" s="662">
        <v>12</v>
      </c>
      <c r="W89" s="683">
        <v>14</v>
      </c>
      <c r="X89" s="683">
        <v>6</v>
      </c>
      <c r="Y89" s="683">
        <v>13</v>
      </c>
      <c r="Z89" s="683">
        <v>29</v>
      </c>
      <c r="AA89" s="683">
        <v>3</v>
      </c>
      <c r="AB89" s="683">
        <v>12</v>
      </c>
      <c r="AC89" s="683">
        <v>18</v>
      </c>
      <c r="AD89" s="683">
        <v>12</v>
      </c>
      <c r="AE89" s="684">
        <f t="shared" si="36"/>
        <v>183</v>
      </c>
      <c r="AG89" s="692">
        <v>16</v>
      </c>
      <c r="AH89" s="692">
        <v>16</v>
      </c>
      <c r="AI89" s="692">
        <v>16</v>
      </c>
      <c r="AJ89" s="692">
        <v>16</v>
      </c>
      <c r="AK89" s="692">
        <v>16</v>
      </c>
      <c r="AL89" s="692">
        <v>10</v>
      </c>
      <c r="AM89" s="692">
        <v>16</v>
      </c>
      <c r="AN89" s="692">
        <v>18</v>
      </c>
      <c r="AO89" s="692">
        <v>16</v>
      </c>
      <c r="AP89" s="692">
        <v>16</v>
      </c>
      <c r="AQ89" s="692">
        <v>16</v>
      </c>
      <c r="AR89" s="692">
        <v>16</v>
      </c>
      <c r="AS89" s="685">
        <f t="shared" ref="AS89:AS133" si="40">SUM(AG89:AR89)</f>
        <v>188</v>
      </c>
      <c r="AU89" s="686">
        <f t="shared" si="26"/>
        <v>172</v>
      </c>
      <c r="AV89" s="665">
        <f t="shared" si="30"/>
        <v>183</v>
      </c>
      <c r="AW89" s="687">
        <f t="shared" si="27"/>
        <v>6.3953488372092915E-2</v>
      </c>
      <c r="AX89" s="702">
        <f t="shared" si="28"/>
        <v>188</v>
      </c>
      <c r="AY89" s="687">
        <f t="shared" si="31"/>
        <v>2.732240437158473E-2</v>
      </c>
      <c r="AZ89" s="687"/>
      <c r="BA89" s="687"/>
      <c r="BB89" s="702"/>
      <c r="BC89" s="688">
        <f t="shared" si="29"/>
        <v>0.48493150684931507</v>
      </c>
    </row>
    <row r="90" spans="1:55" x14ac:dyDescent="0.25">
      <c r="C90" s="662" t="s">
        <v>961</v>
      </c>
      <c r="D90" s="663"/>
      <c r="F90" s="662">
        <v>3</v>
      </c>
      <c r="G90" s="662">
        <v>2</v>
      </c>
      <c r="H90" s="662">
        <v>2</v>
      </c>
      <c r="J90" s="662">
        <v>3</v>
      </c>
      <c r="K90" s="662">
        <v>1</v>
      </c>
      <c r="M90" s="662">
        <v>1</v>
      </c>
      <c r="N90" s="662">
        <v>4</v>
      </c>
      <c r="O90" s="662">
        <v>1</v>
      </c>
      <c r="Q90" s="681">
        <f t="shared" si="24"/>
        <v>17</v>
      </c>
      <c r="R90" s="691"/>
      <c r="S90" s="662">
        <v>2</v>
      </c>
      <c r="T90" s="662">
        <v>3</v>
      </c>
      <c r="U90" s="662">
        <v>2</v>
      </c>
      <c r="W90" s="683">
        <v>1</v>
      </c>
      <c r="X90" s="683">
        <v>1</v>
      </c>
      <c r="Y90" s="683">
        <v>1</v>
      </c>
      <c r="Z90" s="683">
        <v>1</v>
      </c>
      <c r="AA90" s="683">
        <v>1</v>
      </c>
      <c r="AB90" s="683">
        <v>1</v>
      </c>
      <c r="AC90" s="683">
        <v>1</v>
      </c>
      <c r="AD90" s="683">
        <v>1</v>
      </c>
      <c r="AE90" s="684">
        <f t="shared" si="36"/>
        <v>15</v>
      </c>
      <c r="AG90" s="692">
        <v>2</v>
      </c>
      <c r="AH90" s="692">
        <v>2</v>
      </c>
      <c r="AI90" s="692">
        <v>2</v>
      </c>
      <c r="AJ90" s="692">
        <v>0</v>
      </c>
      <c r="AK90" s="692">
        <v>1</v>
      </c>
      <c r="AL90" s="692">
        <v>1</v>
      </c>
      <c r="AM90" s="692">
        <v>1</v>
      </c>
      <c r="AN90" s="692">
        <v>1</v>
      </c>
      <c r="AO90" s="692">
        <v>1</v>
      </c>
      <c r="AP90" s="692">
        <v>1</v>
      </c>
      <c r="AQ90" s="692">
        <v>1</v>
      </c>
      <c r="AR90" s="692">
        <v>2</v>
      </c>
      <c r="AS90" s="685">
        <f t="shared" si="40"/>
        <v>15</v>
      </c>
      <c r="AU90" s="686">
        <f t="shared" si="26"/>
        <v>17</v>
      </c>
      <c r="AV90" s="665">
        <f t="shared" si="30"/>
        <v>15</v>
      </c>
      <c r="AW90" s="687">
        <f t="shared" si="27"/>
        <v>-0.11764705882352944</v>
      </c>
      <c r="AX90" s="702">
        <f t="shared" si="28"/>
        <v>15</v>
      </c>
      <c r="AY90" s="687">
        <f t="shared" si="31"/>
        <v>0</v>
      </c>
      <c r="AZ90" s="687"/>
      <c r="BA90" s="687"/>
      <c r="BB90" s="702"/>
      <c r="BC90" s="688">
        <f t="shared" si="29"/>
        <v>4.6575342465753428E-2</v>
      </c>
    </row>
    <row r="91" spans="1:55" x14ac:dyDescent="0.25">
      <c r="B91" s="662" t="s">
        <v>997</v>
      </c>
      <c r="C91" s="662" t="s">
        <v>932</v>
      </c>
      <c r="D91" s="663" t="s">
        <v>945</v>
      </c>
      <c r="F91" s="662">
        <v>7</v>
      </c>
      <c r="H91" s="662">
        <v>2</v>
      </c>
      <c r="Q91" s="681">
        <f t="shared" si="24"/>
        <v>9</v>
      </c>
      <c r="R91" s="691"/>
      <c r="W91" s="683">
        <v>0</v>
      </c>
      <c r="X91" s="683">
        <v>0</v>
      </c>
      <c r="Y91" s="683">
        <v>0</v>
      </c>
      <c r="Z91" s="683">
        <v>0</v>
      </c>
      <c r="AA91" s="683">
        <v>0</v>
      </c>
      <c r="AB91" s="683">
        <v>0</v>
      </c>
      <c r="AC91" s="683">
        <v>0</v>
      </c>
      <c r="AD91" s="683">
        <v>0</v>
      </c>
      <c r="AE91" s="684">
        <f t="shared" si="36"/>
        <v>0</v>
      </c>
      <c r="AG91" s="692">
        <v>0</v>
      </c>
      <c r="AH91" s="692">
        <v>0</v>
      </c>
      <c r="AI91" s="692">
        <v>0</v>
      </c>
      <c r="AJ91" s="692">
        <v>0</v>
      </c>
      <c r="AK91" s="692">
        <v>0</v>
      </c>
      <c r="AL91" s="692">
        <v>0</v>
      </c>
      <c r="AM91" s="692">
        <v>0</v>
      </c>
      <c r="AN91" s="692">
        <v>0</v>
      </c>
      <c r="AO91" s="692">
        <v>0</v>
      </c>
      <c r="AP91" s="692">
        <v>0</v>
      </c>
      <c r="AQ91" s="692">
        <v>0</v>
      </c>
      <c r="AR91" s="692">
        <v>0</v>
      </c>
      <c r="AS91" s="685">
        <f t="shared" si="40"/>
        <v>0</v>
      </c>
      <c r="AU91" s="686">
        <f t="shared" si="26"/>
        <v>9</v>
      </c>
      <c r="AV91" s="665">
        <f t="shared" si="30"/>
        <v>0</v>
      </c>
      <c r="AW91" s="687">
        <f t="shared" si="27"/>
        <v>-1</v>
      </c>
      <c r="AX91" s="702">
        <f t="shared" si="28"/>
        <v>0</v>
      </c>
      <c r="AY91" s="687">
        <v>0</v>
      </c>
      <c r="AZ91" s="687"/>
      <c r="BA91" s="687"/>
      <c r="BB91" s="702"/>
      <c r="BC91" s="688">
        <f t="shared" si="29"/>
        <v>0</v>
      </c>
    </row>
    <row r="92" spans="1:55" x14ac:dyDescent="0.25">
      <c r="B92" s="662" t="s">
        <v>998</v>
      </c>
      <c r="C92" s="662" t="s">
        <v>932</v>
      </c>
      <c r="D92" s="663" t="s">
        <v>999</v>
      </c>
      <c r="G92" s="662">
        <v>4</v>
      </c>
      <c r="Q92" s="681">
        <f t="shared" si="24"/>
        <v>4</v>
      </c>
      <c r="R92" s="691"/>
      <c r="W92" s="683">
        <f t="shared" si="37"/>
        <v>0</v>
      </c>
      <c r="X92" s="683">
        <f t="shared" si="37"/>
        <v>0</v>
      </c>
      <c r="Y92" s="683">
        <f t="shared" si="23"/>
        <v>0</v>
      </c>
      <c r="Z92" s="683">
        <f t="shared" si="23"/>
        <v>0</v>
      </c>
      <c r="AA92" s="683">
        <f t="shared" si="23"/>
        <v>0</v>
      </c>
      <c r="AB92" s="683">
        <f t="shared" si="23"/>
        <v>0</v>
      </c>
      <c r="AC92" s="683">
        <f t="shared" si="23"/>
        <v>0</v>
      </c>
      <c r="AD92" s="683">
        <f t="shared" si="23"/>
        <v>0</v>
      </c>
      <c r="AE92" s="684">
        <f t="shared" si="36"/>
        <v>0</v>
      </c>
      <c r="AG92" s="692">
        <v>0</v>
      </c>
      <c r="AH92" s="692">
        <v>0</v>
      </c>
      <c r="AI92" s="692">
        <v>0</v>
      </c>
      <c r="AJ92" s="692">
        <v>0</v>
      </c>
      <c r="AK92" s="692">
        <v>0</v>
      </c>
      <c r="AL92" s="692">
        <v>0</v>
      </c>
      <c r="AM92" s="692">
        <v>0</v>
      </c>
      <c r="AN92" s="692">
        <v>0</v>
      </c>
      <c r="AO92" s="692">
        <v>0</v>
      </c>
      <c r="AP92" s="692">
        <v>0</v>
      </c>
      <c r="AQ92" s="692">
        <v>0</v>
      </c>
      <c r="AR92" s="692">
        <v>0</v>
      </c>
      <c r="AS92" s="685">
        <f t="shared" si="40"/>
        <v>0</v>
      </c>
      <c r="AU92" s="686">
        <f t="shared" si="26"/>
        <v>4</v>
      </c>
      <c r="AV92" s="665">
        <f t="shared" si="30"/>
        <v>0</v>
      </c>
      <c r="AW92" s="687">
        <f t="shared" si="27"/>
        <v>-1</v>
      </c>
      <c r="AX92" s="702">
        <f t="shared" si="28"/>
        <v>0</v>
      </c>
      <c r="AY92" s="687">
        <v>0</v>
      </c>
      <c r="AZ92" s="687"/>
      <c r="BA92" s="687"/>
      <c r="BB92" s="702"/>
      <c r="BC92" s="688">
        <f t="shared" si="29"/>
        <v>0</v>
      </c>
    </row>
    <row r="93" spans="1:55" x14ac:dyDescent="0.25">
      <c r="C93" s="662" t="s">
        <v>939</v>
      </c>
      <c r="D93" s="663" t="s">
        <v>999</v>
      </c>
      <c r="E93" s="662">
        <v>19</v>
      </c>
      <c r="F93" s="662">
        <v>25</v>
      </c>
      <c r="G93" s="662">
        <v>23</v>
      </c>
      <c r="H93" s="662">
        <v>12</v>
      </c>
      <c r="I93" s="662">
        <v>24</v>
      </c>
      <c r="J93" s="662">
        <v>18</v>
      </c>
      <c r="K93" s="662">
        <v>23</v>
      </c>
      <c r="L93" s="662">
        <v>15</v>
      </c>
      <c r="M93" s="662">
        <v>15</v>
      </c>
      <c r="N93" s="662">
        <v>17</v>
      </c>
      <c r="O93" s="662">
        <v>26</v>
      </c>
      <c r="P93" s="662">
        <v>13</v>
      </c>
      <c r="Q93" s="681">
        <f t="shared" si="24"/>
        <v>230</v>
      </c>
      <c r="R93" s="691"/>
      <c r="W93" s="683">
        <v>0</v>
      </c>
      <c r="X93" s="683">
        <v>0</v>
      </c>
      <c r="Y93" s="683">
        <v>0</v>
      </c>
      <c r="Z93" s="683">
        <v>0</v>
      </c>
      <c r="AA93" s="683">
        <v>0</v>
      </c>
      <c r="AB93" s="683">
        <v>0</v>
      </c>
      <c r="AC93" s="683">
        <v>0</v>
      </c>
      <c r="AD93" s="683">
        <v>0</v>
      </c>
      <c r="AE93" s="684">
        <f t="shared" si="36"/>
        <v>0</v>
      </c>
      <c r="AG93" s="692">
        <v>0</v>
      </c>
      <c r="AH93" s="692">
        <v>0</v>
      </c>
      <c r="AI93" s="692">
        <v>0</v>
      </c>
      <c r="AJ93" s="692">
        <v>0</v>
      </c>
      <c r="AK93" s="692">
        <v>0</v>
      </c>
      <c r="AL93" s="692">
        <v>0</v>
      </c>
      <c r="AM93" s="692">
        <v>0</v>
      </c>
      <c r="AN93" s="692">
        <v>0</v>
      </c>
      <c r="AO93" s="692">
        <v>0</v>
      </c>
      <c r="AP93" s="692">
        <v>0</v>
      </c>
      <c r="AQ93" s="692">
        <v>0</v>
      </c>
      <c r="AR93" s="692">
        <v>0</v>
      </c>
      <c r="AS93" s="685">
        <f t="shared" si="40"/>
        <v>0</v>
      </c>
      <c r="AU93" s="686">
        <f t="shared" si="26"/>
        <v>230</v>
      </c>
      <c r="AV93" s="665">
        <f t="shared" si="30"/>
        <v>0</v>
      </c>
      <c r="AW93" s="687">
        <f t="shared" si="27"/>
        <v>-1</v>
      </c>
      <c r="AX93" s="702">
        <f t="shared" si="28"/>
        <v>0</v>
      </c>
      <c r="AY93" s="687">
        <v>0</v>
      </c>
      <c r="AZ93" s="687"/>
      <c r="BA93" s="687"/>
      <c r="BB93" s="702"/>
      <c r="BC93" s="688">
        <f t="shared" si="29"/>
        <v>0.41369863013698632</v>
      </c>
    </row>
    <row r="94" spans="1:55" x14ac:dyDescent="0.25">
      <c r="C94" s="662" t="s">
        <v>961</v>
      </c>
      <c r="D94" s="663" t="s">
        <v>999</v>
      </c>
      <c r="K94" s="662">
        <v>2</v>
      </c>
      <c r="M94" s="662">
        <v>2</v>
      </c>
      <c r="N94" s="662">
        <v>1</v>
      </c>
      <c r="O94" s="662">
        <v>1</v>
      </c>
      <c r="Q94" s="681">
        <f t="shared" si="24"/>
        <v>6</v>
      </c>
      <c r="R94" s="691"/>
      <c r="W94" s="683">
        <v>0</v>
      </c>
      <c r="X94" s="683">
        <v>0</v>
      </c>
      <c r="Y94" s="683">
        <v>0</v>
      </c>
      <c r="Z94" s="683">
        <v>0</v>
      </c>
      <c r="AA94" s="683">
        <v>0</v>
      </c>
      <c r="AB94" s="683">
        <v>0</v>
      </c>
      <c r="AC94" s="683">
        <v>0</v>
      </c>
      <c r="AD94" s="683">
        <v>0</v>
      </c>
      <c r="AE94" s="684">
        <f t="shared" si="36"/>
        <v>0</v>
      </c>
      <c r="AG94" s="692">
        <v>0</v>
      </c>
      <c r="AH94" s="692">
        <v>0</v>
      </c>
      <c r="AI94" s="692">
        <v>0</v>
      </c>
      <c r="AJ94" s="692">
        <v>0</v>
      </c>
      <c r="AK94" s="692">
        <v>0</v>
      </c>
      <c r="AL94" s="692">
        <v>0</v>
      </c>
      <c r="AM94" s="692">
        <v>0</v>
      </c>
      <c r="AN94" s="692">
        <v>0</v>
      </c>
      <c r="AO94" s="692">
        <v>0</v>
      </c>
      <c r="AP94" s="692">
        <v>0</v>
      </c>
      <c r="AQ94" s="692">
        <v>0</v>
      </c>
      <c r="AR94" s="692">
        <v>0</v>
      </c>
      <c r="AS94" s="685">
        <f t="shared" si="40"/>
        <v>0</v>
      </c>
      <c r="AU94" s="686">
        <f t="shared" si="26"/>
        <v>6</v>
      </c>
      <c r="AV94" s="665">
        <f t="shared" si="30"/>
        <v>0</v>
      </c>
      <c r="AW94" s="687">
        <f t="shared" si="27"/>
        <v>-1</v>
      </c>
      <c r="AX94" s="702">
        <f t="shared" si="28"/>
        <v>0</v>
      </c>
      <c r="AY94" s="687">
        <v>0</v>
      </c>
      <c r="AZ94" s="687"/>
      <c r="BA94" s="687"/>
      <c r="BB94" s="702"/>
      <c r="BC94" s="688">
        <f t="shared" si="29"/>
        <v>1.643835616438356E-2</v>
      </c>
    </row>
    <row r="95" spans="1:55" x14ac:dyDescent="0.25">
      <c r="B95" s="662" t="s">
        <v>1000</v>
      </c>
      <c r="C95" s="662" t="s">
        <v>939</v>
      </c>
      <c r="D95" s="663" t="s">
        <v>1001</v>
      </c>
      <c r="O95" s="662">
        <v>1</v>
      </c>
      <c r="Q95" s="681">
        <f t="shared" si="24"/>
        <v>1</v>
      </c>
      <c r="R95" s="691"/>
      <c r="W95" s="683">
        <v>0</v>
      </c>
      <c r="X95" s="683">
        <v>0</v>
      </c>
      <c r="Y95" s="683">
        <v>0</v>
      </c>
      <c r="Z95" s="683">
        <v>0</v>
      </c>
      <c r="AA95" s="683">
        <v>0</v>
      </c>
      <c r="AB95" s="683">
        <v>0</v>
      </c>
      <c r="AC95" s="683">
        <v>0</v>
      </c>
      <c r="AD95" s="683">
        <v>0</v>
      </c>
      <c r="AE95" s="684">
        <f t="shared" si="36"/>
        <v>0</v>
      </c>
      <c r="AG95" s="692">
        <v>0</v>
      </c>
      <c r="AH95" s="692">
        <v>0</v>
      </c>
      <c r="AI95" s="692">
        <v>0</v>
      </c>
      <c r="AJ95" s="692">
        <v>0</v>
      </c>
      <c r="AK95" s="692">
        <v>0</v>
      </c>
      <c r="AL95" s="692">
        <v>0</v>
      </c>
      <c r="AM95" s="692">
        <v>0</v>
      </c>
      <c r="AN95" s="692">
        <v>0</v>
      </c>
      <c r="AO95" s="692">
        <v>0</v>
      </c>
      <c r="AP95" s="692">
        <v>0</v>
      </c>
      <c r="AQ95" s="692">
        <v>0</v>
      </c>
      <c r="AR95" s="692">
        <v>0</v>
      </c>
      <c r="AS95" s="685">
        <f t="shared" si="40"/>
        <v>0</v>
      </c>
      <c r="AU95" s="686">
        <f t="shared" si="26"/>
        <v>1</v>
      </c>
      <c r="AV95" s="665">
        <f t="shared" si="30"/>
        <v>0</v>
      </c>
      <c r="AW95" s="687">
        <f t="shared" si="27"/>
        <v>-1</v>
      </c>
      <c r="AX95" s="702">
        <f t="shared" si="28"/>
        <v>0</v>
      </c>
      <c r="AY95" s="687">
        <v>0</v>
      </c>
      <c r="AZ95" s="687"/>
      <c r="BA95" s="687"/>
      <c r="BB95" s="702"/>
      <c r="BC95" s="688">
        <f t="shared" si="29"/>
        <v>2.7397260273972603E-3</v>
      </c>
    </row>
    <row r="96" spans="1:55" x14ac:dyDescent="0.25">
      <c r="B96" s="662" t="s">
        <v>1002</v>
      </c>
      <c r="C96" s="662" t="s">
        <v>932</v>
      </c>
      <c r="D96" s="663"/>
      <c r="F96" s="662">
        <v>10</v>
      </c>
      <c r="G96" s="662">
        <v>1</v>
      </c>
      <c r="J96" s="662">
        <v>2</v>
      </c>
      <c r="K96" s="662">
        <v>3</v>
      </c>
      <c r="N96" s="662">
        <v>2</v>
      </c>
      <c r="Q96" s="681">
        <f t="shared" si="24"/>
        <v>18</v>
      </c>
      <c r="R96" s="691"/>
      <c r="W96" s="683">
        <v>0</v>
      </c>
      <c r="X96" s="683">
        <v>2</v>
      </c>
      <c r="Y96" s="683">
        <v>0</v>
      </c>
      <c r="Z96" s="683">
        <v>3</v>
      </c>
      <c r="AA96" s="683">
        <v>0</v>
      </c>
      <c r="AB96" s="683">
        <v>2</v>
      </c>
      <c r="AC96" s="683">
        <v>0</v>
      </c>
      <c r="AD96" s="683">
        <v>0</v>
      </c>
      <c r="AE96" s="684">
        <f t="shared" si="36"/>
        <v>7</v>
      </c>
      <c r="AG96" s="692">
        <v>2</v>
      </c>
      <c r="AH96" s="692">
        <v>0</v>
      </c>
      <c r="AI96" s="692">
        <v>2</v>
      </c>
      <c r="AJ96" s="692">
        <v>0</v>
      </c>
      <c r="AK96" s="692">
        <v>2</v>
      </c>
      <c r="AL96" s="692">
        <v>0</v>
      </c>
      <c r="AM96" s="692">
        <v>2</v>
      </c>
      <c r="AN96" s="692">
        <v>0</v>
      </c>
      <c r="AO96" s="692">
        <v>2</v>
      </c>
      <c r="AP96" s="692">
        <v>0</v>
      </c>
      <c r="AQ96" s="692">
        <v>2</v>
      </c>
      <c r="AR96" s="692">
        <v>0</v>
      </c>
      <c r="AS96" s="685">
        <f t="shared" si="40"/>
        <v>12</v>
      </c>
      <c r="AU96" s="686">
        <f t="shared" si="26"/>
        <v>18</v>
      </c>
      <c r="AV96" s="665">
        <f t="shared" si="30"/>
        <v>7</v>
      </c>
      <c r="AW96" s="687">
        <f t="shared" si="27"/>
        <v>-0.61111111111111116</v>
      </c>
      <c r="AX96" s="702">
        <f t="shared" si="28"/>
        <v>12</v>
      </c>
      <c r="AY96" s="687">
        <f t="shared" si="31"/>
        <v>0.71428571428571419</v>
      </c>
      <c r="AZ96" s="687"/>
      <c r="BA96" s="687"/>
      <c r="BB96" s="702"/>
      <c r="BC96" s="688">
        <f t="shared" si="29"/>
        <v>1.9178082191780823E-2</v>
      </c>
    </row>
    <row r="97" spans="2:55" x14ac:dyDescent="0.25">
      <c r="C97" s="662" t="s">
        <v>939</v>
      </c>
      <c r="D97" s="663"/>
      <c r="E97" s="662">
        <v>19</v>
      </c>
      <c r="F97" s="662">
        <v>33</v>
      </c>
      <c r="G97" s="662">
        <v>17</v>
      </c>
      <c r="H97" s="662">
        <v>12</v>
      </c>
      <c r="I97" s="662">
        <v>14</v>
      </c>
      <c r="J97" s="662">
        <v>16</v>
      </c>
      <c r="K97" s="662">
        <v>29</v>
      </c>
      <c r="L97" s="662">
        <v>14</v>
      </c>
      <c r="N97" s="662">
        <v>10</v>
      </c>
      <c r="O97" s="662">
        <v>9</v>
      </c>
      <c r="Q97" s="681">
        <f t="shared" si="24"/>
        <v>173</v>
      </c>
      <c r="R97" s="691"/>
      <c r="U97" s="662">
        <v>11</v>
      </c>
      <c r="V97" s="662">
        <v>13</v>
      </c>
      <c r="W97" s="683">
        <v>10</v>
      </c>
      <c r="X97" s="683">
        <v>17</v>
      </c>
      <c r="Y97" s="683">
        <v>29</v>
      </c>
      <c r="Z97" s="683">
        <v>14</v>
      </c>
      <c r="AA97" s="683">
        <v>10</v>
      </c>
      <c r="AB97" s="683">
        <f t="shared" si="23"/>
        <v>9.5342465753424666</v>
      </c>
      <c r="AC97" s="683">
        <v>9</v>
      </c>
      <c r="AD97" s="683">
        <v>10</v>
      </c>
      <c r="AE97" s="684">
        <f t="shared" si="36"/>
        <v>132.53424657534248</v>
      </c>
      <c r="AG97" s="692">
        <v>14</v>
      </c>
      <c r="AH97" s="692">
        <v>14</v>
      </c>
      <c r="AI97" s="692">
        <v>14</v>
      </c>
      <c r="AJ97" s="692">
        <v>14</v>
      </c>
      <c r="AK97" s="692">
        <v>14</v>
      </c>
      <c r="AL97" s="692">
        <v>14</v>
      </c>
      <c r="AM97" s="692">
        <v>14</v>
      </c>
      <c r="AN97" s="692">
        <v>14</v>
      </c>
      <c r="AO97" s="692">
        <v>16</v>
      </c>
      <c r="AP97" s="692">
        <v>16</v>
      </c>
      <c r="AQ97" s="692">
        <v>15</v>
      </c>
      <c r="AR97" s="692">
        <v>14</v>
      </c>
      <c r="AS97" s="685">
        <f t="shared" si="40"/>
        <v>173</v>
      </c>
      <c r="AU97" s="686">
        <f t="shared" si="26"/>
        <v>173</v>
      </c>
      <c r="AV97" s="665">
        <f t="shared" si="30"/>
        <v>132.53424657534248</v>
      </c>
      <c r="AW97" s="687">
        <f t="shared" si="27"/>
        <v>-0.2339060891598701</v>
      </c>
      <c r="AX97" s="702">
        <f t="shared" si="28"/>
        <v>173</v>
      </c>
      <c r="AY97" s="687">
        <f t="shared" si="31"/>
        <v>0.30532299741602054</v>
      </c>
      <c r="AZ97" s="687"/>
      <c r="BA97" s="687"/>
      <c r="BB97" s="702"/>
      <c r="BC97" s="688">
        <f t="shared" si="29"/>
        <v>0.31780821917808222</v>
      </c>
    </row>
    <row r="98" spans="2:55" x14ac:dyDescent="0.25">
      <c r="B98" s="662" t="s">
        <v>1003</v>
      </c>
      <c r="C98" s="662" t="s">
        <v>932</v>
      </c>
      <c r="D98" s="663" t="s">
        <v>1004</v>
      </c>
      <c r="M98" s="662">
        <v>6</v>
      </c>
      <c r="P98" s="691"/>
      <c r="Q98" s="681">
        <f t="shared" si="24"/>
        <v>6</v>
      </c>
      <c r="R98" s="691"/>
      <c r="W98" s="683">
        <v>0</v>
      </c>
      <c r="X98" s="683">
        <v>0</v>
      </c>
      <c r="Y98" s="683">
        <v>0</v>
      </c>
      <c r="Z98" s="683">
        <v>0</v>
      </c>
      <c r="AA98" s="683">
        <v>0</v>
      </c>
      <c r="AB98" s="683">
        <v>0</v>
      </c>
      <c r="AC98" s="683">
        <v>0</v>
      </c>
      <c r="AD98" s="683">
        <v>0</v>
      </c>
      <c r="AE98" s="684">
        <f t="shared" si="36"/>
        <v>0</v>
      </c>
      <c r="AG98" s="692">
        <v>0</v>
      </c>
      <c r="AH98" s="692">
        <v>0</v>
      </c>
      <c r="AI98" s="692">
        <v>0</v>
      </c>
      <c r="AJ98" s="692">
        <v>0</v>
      </c>
      <c r="AK98" s="692">
        <v>0</v>
      </c>
      <c r="AL98" s="692">
        <v>0</v>
      </c>
      <c r="AM98" s="692">
        <v>0</v>
      </c>
      <c r="AN98" s="692">
        <v>0</v>
      </c>
      <c r="AO98" s="692">
        <v>0</v>
      </c>
      <c r="AP98" s="692">
        <v>0</v>
      </c>
      <c r="AQ98" s="692">
        <v>0</v>
      </c>
      <c r="AR98" s="692">
        <v>0</v>
      </c>
      <c r="AS98" s="685">
        <f t="shared" si="40"/>
        <v>0</v>
      </c>
      <c r="AU98" s="686">
        <f t="shared" si="26"/>
        <v>6</v>
      </c>
      <c r="AV98" s="665">
        <f t="shared" si="30"/>
        <v>0</v>
      </c>
      <c r="AW98" s="687">
        <f t="shared" si="27"/>
        <v>-1</v>
      </c>
      <c r="AX98" s="702">
        <f t="shared" si="28"/>
        <v>0</v>
      </c>
      <c r="AY98" s="687">
        <v>0</v>
      </c>
      <c r="AZ98" s="687"/>
      <c r="BA98" s="687"/>
      <c r="BB98" s="702"/>
      <c r="BC98" s="688">
        <f t="shared" si="29"/>
        <v>1.643835616438356E-2</v>
      </c>
    </row>
    <row r="99" spans="2:55" x14ac:dyDescent="0.25">
      <c r="B99" s="662" t="s">
        <v>1005</v>
      </c>
      <c r="C99" s="662" t="s">
        <v>932</v>
      </c>
      <c r="D99" s="663"/>
      <c r="E99" s="664">
        <v>16</v>
      </c>
      <c r="F99" s="664">
        <v>25</v>
      </c>
      <c r="G99" s="664">
        <v>31</v>
      </c>
      <c r="H99" s="664">
        <v>33</v>
      </c>
      <c r="I99" s="664">
        <v>25</v>
      </c>
      <c r="J99" s="664">
        <v>25</v>
      </c>
      <c r="K99" s="664">
        <v>24</v>
      </c>
      <c r="L99" s="664">
        <v>18</v>
      </c>
      <c r="M99" s="664">
        <v>23</v>
      </c>
      <c r="N99" s="664">
        <v>22</v>
      </c>
      <c r="O99" s="664">
        <v>31</v>
      </c>
      <c r="P99" s="681">
        <v>31</v>
      </c>
      <c r="Q99" s="681">
        <f t="shared" si="24"/>
        <v>304</v>
      </c>
      <c r="R99" s="681"/>
      <c r="S99" s="662">
        <v>19</v>
      </c>
      <c r="T99" s="662">
        <v>23</v>
      </c>
      <c r="U99" s="662">
        <v>21</v>
      </c>
      <c r="V99" s="662">
        <v>17</v>
      </c>
      <c r="W99" s="683">
        <v>18</v>
      </c>
      <c r="X99" s="683">
        <v>18</v>
      </c>
      <c r="Y99" s="683">
        <f t="shared" ref="Y99:AD136" si="41">$BC99*Y$1</f>
        <v>23.695890410958903</v>
      </c>
      <c r="Z99" s="683">
        <v>18</v>
      </c>
      <c r="AA99" s="683">
        <v>23</v>
      </c>
      <c r="AB99" s="683">
        <v>22</v>
      </c>
      <c r="AC99" s="683">
        <v>24</v>
      </c>
      <c r="AD99" s="683">
        <v>23</v>
      </c>
      <c r="AE99" s="684">
        <f t="shared" si="36"/>
        <v>249.6958904109589</v>
      </c>
      <c r="AF99" s="685"/>
      <c r="AG99" s="701">
        <v>20</v>
      </c>
      <c r="AH99" s="701">
        <v>20</v>
      </c>
      <c r="AI99" s="701">
        <v>20</v>
      </c>
      <c r="AJ99" s="701">
        <v>20</v>
      </c>
      <c r="AK99" s="701">
        <v>20</v>
      </c>
      <c r="AL99" s="701">
        <v>20</v>
      </c>
      <c r="AM99" s="701">
        <v>20</v>
      </c>
      <c r="AN99" s="701">
        <v>20</v>
      </c>
      <c r="AO99" s="701">
        <v>20</v>
      </c>
      <c r="AP99" s="701">
        <v>20</v>
      </c>
      <c r="AQ99" s="701">
        <v>20</v>
      </c>
      <c r="AR99" s="701">
        <v>20</v>
      </c>
      <c r="AS99" s="685">
        <f t="shared" si="40"/>
        <v>240</v>
      </c>
      <c r="AT99" s="685"/>
      <c r="AU99" s="686">
        <f t="shared" si="26"/>
        <v>304</v>
      </c>
      <c r="AV99" s="665">
        <f t="shared" si="30"/>
        <v>249.6958904109589</v>
      </c>
      <c r="AW99" s="687">
        <f t="shared" si="27"/>
        <v>-0.17863193943763522</v>
      </c>
      <c r="AX99" s="702">
        <f t="shared" si="28"/>
        <v>240</v>
      </c>
      <c r="AY99" s="687">
        <f t="shared" si="31"/>
        <v>-3.8830796914602894E-2</v>
      </c>
      <c r="AZ99" s="687"/>
      <c r="BA99" s="687"/>
      <c r="BB99" s="702"/>
      <c r="BC99" s="688">
        <f t="shared" si="29"/>
        <v>0.76438356164383559</v>
      </c>
    </row>
    <row r="100" spans="2:55" x14ac:dyDescent="0.25">
      <c r="C100" s="662" t="s">
        <v>939</v>
      </c>
      <c r="D100" s="663"/>
      <c r="I100" s="662">
        <v>1</v>
      </c>
      <c r="M100" s="662">
        <v>1</v>
      </c>
      <c r="O100" s="662">
        <v>1</v>
      </c>
      <c r="P100" s="662">
        <v>2</v>
      </c>
      <c r="Q100" s="681">
        <f t="shared" si="24"/>
        <v>5</v>
      </c>
      <c r="R100" s="691"/>
      <c r="W100" s="683">
        <v>0</v>
      </c>
      <c r="X100" s="683">
        <v>0</v>
      </c>
      <c r="Y100" s="683">
        <v>0</v>
      </c>
      <c r="Z100" s="683">
        <v>0</v>
      </c>
      <c r="AA100" s="683">
        <v>0</v>
      </c>
      <c r="AB100" s="683">
        <v>0</v>
      </c>
      <c r="AC100" s="683">
        <v>0</v>
      </c>
      <c r="AD100" s="683">
        <v>0</v>
      </c>
      <c r="AE100" s="684">
        <f t="shared" si="36"/>
        <v>0</v>
      </c>
      <c r="AG100" s="692">
        <v>0</v>
      </c>
      <c r="AH100" s="692">
        <v>0</v>
      </c>
      <c r="AI100" s="692">
        <v>0</v>
      </c>
      <c r="AJ100" s="692">
        <v>0</v>
      </c>
      <c r="AK100" s="692">
        <v>0</v>
      </c>
      <c r="AL100" s="692">
        <v>0</v>
      </c>
      <c r="AM100" s="692">
        <v>0</v>
      </c>
      <c r="AN100" s="692">
        <v>0</v>
      </c>
      <c r="AO100" s="692">
        <v>0</v>
      </c>
      <c r="AP100" s="692">
        <v>0</v>
      </c>
      <c r="AQ100" s="692">
        <v>0</v>
      </c>
      <c r="AR100" s="692">
        <v>0</v>
      </c>
      <c r="AS100" s="685">
        <f t="shared" si="40"/>
        <v>0</v>
      </c>
      <c r="AU100" s="686">
        <f t="shared" si="26"/>
        <v>5</v>
      </c>
      <c r="AV100" s="665">
        <f t="shared" si="30"/>
        <v>0</v>
      </c>
      <c r="AW100" s="687">
        <f t="shared" si="27"/>
        <v>-1</v>
      </c>
      <c r="AX100" s="702">
        <f t="shared" si="28"/>
        <v>0</v>
      </c>
      <c r="AY100" s="687">
        <v>0</v>
      </c>
      <c r="AZ100" s="687"/>
      <c r="BA100" s="687"/>
      <c r="BB100" s="702"/>
      <c r="BC100" s="688">
        <f t="shared" si="29"/>
        <v>1.3698630136986301E-2</v>
      </c>
    </row>
    <row r="101" spans="2:55" x14ac:dyDescent="0.25">
      <c r="B101" s="662" t="s">
        <v>1006</v>
      </c>
      <c r="C101" s="662" t="s">
        <v>932</v>
      </c>
      <c r="D101" s="663" t="s">
        <v>1007</v>
      </c>
      <c r="E101" s="662">
        <v>1</v>
      </c>
      <c r="Q101" s="681">
        <f t="shared" si="24"/>
        <v>1</v>
      </c>
      <c r="R101" s="691"/>
      <c r="W101" s="683">
        <f t="shared" si="37"/>
        <v>0</v>
      </c>
      <c r="X101" s="683">
        <f t="shared" si="37"/>
        <v>0</v>
      </c>
      <c r="Y101" s="683">
        <f t="shared" si="41"/>
        <v>0</v>
      </c>
      <c r="Z101" s="683">
        <f t="shared" si="41"/>
        <v>0</v>
      </c>
      <c r="AA101" s="683">
        <f t="shared" si="41"/>
        <v>0</v>
      </c>
      <c r="AB101" s="683">
        <f t="shared" si="41"/>
        <v>0</v>
      </c>
      <c r="AC101" s="683">
        <f t="shared" si="41"/>
        <v>0</v>
      </c>
      <c r="AD101" s="683">
        <f t="shared" si="41"/>
        <v>0</v>
      </c>
      <c r="AE101" s="684">
        <f t="shared" si="36"/>
        <v>0</v>
      </c>
      <c r="AG101" s="692">
        <v>0</v>
      </c>
      <c r="AH101" s="692">
        <v>0</v>
      </c>
      <c r="AI101" s="692">
        <v>0</v>
      </c>
      <c r="AJ101" s="692">
        <v>0</v>
      </c>
      <c r="AK101" s="692">
        <v>0</v>
      </c>
      <c r="AL101" s="692">
        <v>0</v>
      </c>
      <c r="AM101" s="692">
        <v>0</v>
      </c>
      <c r="AN101" s="692">
        <v>0</v>
      </c>
      <c r="AO101" s="692">
        <v>0</v>
      </c>
      <c r="AP101" s="692">
        <v>0</v>
      </c>
      <c r="AQ101" s="692">
        <v>0</v>
      </c>
      <c r="AR101" s="692">
        <v>0</v>
      </c>
      <c r="AS101" s="685">
        <f t="shared" si="40"/>
        <v>0</v>
      </c>
      <c r="AU101" s="686">
        <f t="shared" si="26"/>
        <v>1</v>
      </c>
      <c r="AV101" s="665">
        <f t="shared" si="30"/>
        <v>0</v>
      </c>
      <c r="AW101" s="687">
        <f t="shared" si="27"/>
        <v>-1</v>
      </c>
      <c r="AX101" s="702">
        <f t="shared" si="28"/>
        <v>0</v>
      </c>
      <c r="AY101" s="687">
        <v>0</v>
      </c>
      <c r="AZ101" s="687"/>
      <c r="BA101" s="687"/>
      <c r="BB101" s="702"/>
      <c r="BC101" s="688">
        <f t="shared" si="29"/>
        <v>0</v>
      </c>
    </row>
    <row r="102" spans="2:55" x14ac:dyDescent="0.25">
      <c r="C102" s="662" t="s">
        <v>939</v>
      </c>
      <c r="D102" s="663" t="s">
        <v>1007</v>
      </c>
      <c r="E102" s="662">
        <v>28</v>
      </c>
      <c r="F102" s="662">
        <v>22</v>
      </c>
      <c r="G102" s="662">
        <v>12</v>
      </c>
      <c r="H102" s="662">
        <v>16</v>
      </c>
      <c r="I102" s="662">
        <v>24</v>
      </c>
      <c r="J102" s="662">
        <v>11</v>
      </c>
      <c r="K102" s="662">
        <v>12</v>
      </c>
      <c r="L102" s="662">
        <v>8</v>
      </c>
      <c r="M102" s="662">
        <v>19</v>
      </c>
      <c r="N102" s="662">
        <v>20</v>
      </c>
      <c r="O102" s="662">
        <v>13</v>
      </c>
      <c r="P102" s="662">
        <v>17</v>
      </c>
      <c r="Q102" s="681">
        <f t="shared" si="24"/>
        <v>202</v>
      </c>
      <c r="R102" s="691"/>
      <c r="S102" s="662">
        <v>23</v>
      </c>
      <c r="T102" s="662">
        <v>23</v>
      </c>
      <c r="U102" s="662">
        <v>16</v>
      </c>
      <c r="V102" s="662">
        <v>11</v>
      </c>
      <c r="W102" s="683">
        <f t="shared" si="37"/>
        <v>16.19178082191781</v>
      </c>
      <c r="X102" s="683">
        <v>11</v>
      </c>
      <c r="Y102" s="683">
        <v>8</v>
      </c>
      <c r="Z102" s="683">
        <v>0</v>
      </c>
      <c r="AA102" s="683">
        <v>0</v>
      </c>
      <c r="AB102" s="683">
        <v>0</v>
      </c>
      <c r="AC102" s="683">
        <v>0</v>
      </c>
      <c r="AD102" s="683">
        <v>0</v>
      </c>
      <c r="AE102" s="684">
        <f t="shared" si="36"/>
        <v>108.1917808219178</v>
      </c>
      <c r="AG102" s="692">
        <v>0</v>
      </c>
      <c r="AH102" s="692">
        <v>0</v>
      </c>
      <c r="AI102" s="692">
        <v>0</v>
      </c>
      <c r="AJ102" s="692">
        <v>0</v>
      </c>
      <c r="AK102" s="692">
        <v>0</v>
      </c>
      <c r="AL102" s="692">
        <v>0</v>
      </c>
      <c r="AM102" s="692">
        <v>0</v>
      </c>
      <c r="AN102" s="692">
        <v>0</v>
      </c>
      <c r="AO102" s="692">
        <v>0</v>
      </c>
      <c r="AP102" s="692">
        <v>0</v>
      </c>
      <c r="AQ102" s="692">
        <v>0</v>
      </c>
      <c r="AR102" s="692">
        <v>0</v>
      </c>
      <c r="AS102" s="685">
        <f t="shared" si="40"/>
        <v>0</v>
      </c>
      <c r="AU102" s="686">
        <f t="shared" si="26"/>
        <v>202</v>
      </c>
      <c r="AV102" s="665">
        <f t="shared" si="30"/>
        <v>108.1917808219178</v>
      </c>
      <c r="AW102" s="687">
        <f t="shared" si="27"/>
        <v>-0.46439712464397132</v>
      </c>
      <c r="AX102" s="702">
        <f t="shared" si="28"/>
        <v>0</v>
      </c>
      <c r="AY102" s="687">
        <f t="shared" si="31"/>
        <v>-1</v>
      </c>
      <c r="AZ102" s="687"/>
      <c r="BA102" s="687"/>
      <c r="BB102" s="702"/>
      <c r="BC102" s="688">
        <f t="shared" si="29"/>
        <v>0.53972602739726028</v>
      </c>
    </row>
    <row r="103" spans="2:55" x14ac:dyDescent="0.25">
      <c r="B103" s="662" t="s">
        <v>1008</v>
      </c>
      <c r="C103" s="662" t="s">
        <v>932</v>
      </c>
      <c r="D103" s="663" t="s">
        <v>1007</v>
      </c>
      <c r="G103" s="662">
        <v>2</v>
      </c>
      <c r="Q103" s="681">
        <f t="shared" si="24"/>
        <v>2</v>
      </c>
      <c r="R103" s="691"/>
      <c r="W103" s="683">
        <f t="shared" si="37"/>
        <v>0</v>
      </c>
      <c r="X103" s="683">
        <f t="shared" si="37"/>
        <v>0</v>
      </c>
      <c r="Y103" s="683">
        <f t="shared" si="41"/>
        <v>0</v>
      </c>
      <c r="Z103" s="683">
        <f t="shared" si="41"/>
        <v>0</v>
      </c>
      <c r="AA103" s="683">
        <f t="shared" si="41"/>
        <v>0</v>
      </c>
      <c r="AB103" s="683">
        <f t="shared" si="41"/>
        <v>0</v>
      </c>
      <c r="AC103" s="683">
        <f t="shared" si="41"/>
        <v>0</v>
      </c>
      <c r="AD103" s="683">
        <f t="shared" si="41"/>
        <v>0</v>
      </c>
      <c r="AE103" s="684">
        <f t="shared" si="36"/>
        <v>0</v>
      </c>
      <c r="AG103" s="692">
        <v>0</v>
      </c>
      <c r="AH103" s="692">
        <v>0</v>
      </c>
      <c r="AI103" s="692">
        <v>0</v>
      </c>
      <c r="AJ103" s="692">
        <v>0</v>
      </c>
      <c r="AK103" s="692">
        <v>0</v>
      </c>
      <c r="AL103" s="692">
        <v>0</v>
      </c>
      <c r="AM103" s="692">
        <v>0</v>
      </c>
      <c r="AN103" s="692">
        <v>0</v>
      </c>
      <c r="AO103" s="692">
        <v>0</v>
      </c>
      <c r="AP103" s="692">
        <v>0</v>
      </c>
      <c r="AQ103" s="692">
        <v>0</v>
      </c>
      <c r="AR103" s="692">
        <v>0</v>
      </c>
      <c r="AS103" s="685">
        <f t="shared" si="40"/>
        <v>0</v>
      </c>
      <c r="AU103" s="686">
        <f t="shared" si="26"/>
        <v>2</v>
      </c>
      <c r="AV103" s="665">
        <f t="shared" si="30"/>
        <v>0</v>
      </c>
      <c r="AW103" s="687">
        <f t="shared" si="27"/>
        <v>-1</v>
      </c>
      <c r="AX103" s="702">
        <f t="shared" si="28"/>
        <v>0</v>
      </c>
      <c r="AY103" s="687">
        <v>0</v>
      </c>
      <c r="AZ103" s="687"/>
      <c r="BA103" s="687"/>
      <c r="BB103" s="702"/>
      <c r="BC103" s="688">
        <f t="shared" si="29"/>
        <v>0</v>
      </c>
    </row>
    <row r="104" spans="2:55" x14ac:dyDescent="0.25">
      <c r="C104" s="662" t="s">
        <v>939</v>
      </c>
      <c r="D104" s="663" t="s">
        <v>1007</v>
      </c>
      <c r="E104" s="662">
        <v>21</v>
      </c>
      <c r="F104" s="662">
        <v>17</v>
      </c>
      <c r="G104" s="662">
        <v>10</v>
      </c>
      <c r="H104" s="662">
        <v>29</v>
      </c>
      <c r="I104" s="662">
        <v>22</v>
      </c>
      <c r="J104" s="662">
        <v>20</v>
      </c>
      <c r="K104" s="662">
        <v>32</v>
      </c>
      <c r="L104" s="662">
        <v>12</v>
      </c>
      <c r="M104" s="662">
        <v>26</v>
      </c>
      <c r="N104" s="662">
        <v>22</v>
      </c>
      <c r="O104" s="662">
        <v>22</v>
      </c>
      <c r="P104" s="662">
        <v>33</v>
      </c>
      <c r="Q104" s="681">
        <f t="shared" si="24"/>
        <v>266</v>
      </c>
      <c r="R104" s="691"/>
      <c r="S104" s="662">
        <v>23</v>
      </c>
      <c r="T104" s="662">
        <v>18</v>
      </c>
      <c r="U104" s="662">
        <v>23</v>
      </c>
      <c r="V104" s="662">
        <v>25</v>
      </c>
      <c r="W104" s="683">
        <f t="shared" si="37"/>
        <v>22.849315068493151</v>
      </c>
      <c r="X104" s="683">
        <v>20</v>
      </c>
      <c r="Y104" s="683">
        <v>0</v>
      </c>
      <c r="Z104" s="683">
        <v>0</v>
      </c>
      <c r="AA104" s="683">
        <v>0</v>
      </c>
      <c r="AB104" s="683">
        <v>0</v>
      </c>
      <c r="AC104" s="683">
        <v>0</v>
      </c>
      <c r="AD104" s="683">
        <v>0</v>
      </c>
      <c r="AE104" s="684">
        <f t="shared" si="36"/>
        <v>131.84931506849315</v>
      </c>
      <c r="AG104" s="692">
        <v>0</v>
      </c>
      <c r="AH104" s="692">
        <v>0</v>
      </c>
      <c r="AI104" s="692">
        <v>0</v>
      </c>
      <c r="AJ104" s="692">
        <v>0</v>
      </c>
      <c r="AK104" s="692">
        <v>0</v>
      </c>
      <c r="AL104" s="692">
        <v>0</v>
      </c>
      <c r="AM104" s="692">
        <v>0</v>
      </c>
      <c r="AN104" s="692">
        <v>0</v>
      </c>
      <c r="AO104" s="692">
        <v>0</v>
      </c>
      <c r="AP104" s="692">
        <v>0</v>
      </c>
      <c r="AQ104" s="692">
        <v>0</v>
      </c>
      <c r="AR104" s="692">
        <v>0</v>
      </c>
      <c r="AS104" s="685">
        <f t="shared" si="40"/>
        <v>0</v>
      </c>
      <c r="AU104" s="686">
        <f t="shared" si="26"/>
        <v>266</v>
      </c>
      <c r="AV104" s="665">
        <f t="shared" si="30"/>
        <v>131.84931506849315</v>
      </c>
      <c r="AW104" s="687">
        <f t="shared" si="27"/>
        <v>-0.50432588320115357</v>
      </c>
      <c r="AX104" s="702">
        <f t="shared" si="28"/>
        <v>0</v>
      </c>
      <c r="AY104" s="687">
        <f t="shared" si="31"/>
        <v>-1</v>
      </c>
      <c r="AZ104" s="687"/>
      <c r="BA104" s="687"/>
      <c r="BB104" s="702"/>
      <c r="BC104" s="688">
        <f t="shared" si="29"/>
        <v>0.76164383561643834</v>
      </c>
    </row>
    <row r="105" spans="2:55" x14ac:dyDescent="0.25">
      <c r="C105" s="662" t="s">
        <v>961</v>
      </c>
      <c r="D105" s="663" t="s">
        <v>1007</v>
      </c>
      <c r="E105" s="662">
        <v>4</v>
      </c>
      <c r="H105" s="662">
        <v>4</v>
      </c>
      <c r="I105" s="662">
        <v>4</v>
      </c>
      <c r="J105" s="662">
        <v>5</v>
      </c>
      <c r="K105" s="662">
        <v>3</v>
      </c>
      <c r="L105" s="662">
        <v>3</v>
      </c>
      <c r="M105" s="662">
        <v>2</v>
      </c>
      <c r="N105" s="662">
        <v>2</v>
      </c>
      <c r="O105" s="662">
        <v>5</v>
      </c>
      <c r="P105" s="662">
        <v>1</v>
      </c>
      <c r="Q105" s="681">
        <f t="shared" si="24"/>
        <v>33</v>
      </c>
      <c r="R105" s="691"/>
      <c r="S105" s="662">
        <v>2</v>
      </c>
      <c r="T105" s="662">
        <v>3</v>
      </c>
      <c r="U105" s="662">
        <v>1</v>
      </c>
      <c r="V105" s="662">
        <v>2</v>
      </c>
      <c r="W105" s="683">
        <f t="shared" si="37"/>
        <v>2.7123287671232879</v>
      </c>
      <c r="X105" s="683">
        <f t="shared" si="37"/>
        <v>2.8027397260273972</v>
      </c>
      <c r="Y105" s="683">
        <v>0</v>
      </c>
      <c r="Z105" s="683">
        <v>0</v>
      </c>
      <c r="AA105" s="683">
        <v>0</v>
      </c>
      <c r="AB105" s="683">
        <v>0</v>
      </c>
      <c r="AC105" s="683">
        <v>0</v>
      </c>
      <c r="AD105" s="683">
        <v>0</v>
      </c>
      <c r="AE105" s="684">
        <f t="shared" si="36"/>
        <v>13.515068493150686</v>
      </c>
      <c r="AG105" s="692">
        <v>0</v>
      </c>
      <c r="AH105" s="692">
        <v>0</v>
      </c>
      <c r="AI105" s="692">
        <v>0</v>
      </c>
      <c r="AJ105" s="692">
        <v>0</v>
      </c>
      <c r="AK105" s="692">
        <v>0</v>
      </c>
      <c r="AL105" s="692">
        <v>0</v>
      </c>
      <c r="AM105" s="692">
        <v>0</v>
      </c>
      <c r="AN105" s="692">
        <v>0</v>
      </c>
      <c r="AO105" s="692">
        <v>0</v>
      </c>
      <c r="AP105" s="692">
        <v>0</v>
      </c>
      <c r="AQ105" s="692">
        <v>0</v>
      </c>
      <c r="AR105" s="692">
        <v>0</v>
      </c>
      <c r="AS105" s="685">
        <f t="shared" si="40"/>
        <v>0</v>
      </c>
      <c r="AU105" s="686">
        <f t="shared" si="26"/>
        <v>33</v>
      </c>
      <c r="AV105" s="665">
        <f t="shared" si="30"/>
        <v>13.515068493150686</v>
      </c>
      <c r="AW105" s="687">
        <f t="shared" si="27"/>
        <v>-0.5904524699045246</v>
      </c>
      <c r="AX105" s="702">
        <f t="shared" si="28"/>
        <v>0</v>
      </c>
      <c r="AY105" s="687">
        <f t="shared" si="31"/>
        <v>-1</v>
      </c>
      <c r="AZ105" s="687"/>
      <c r="BA105" s="687"/>
      <c r="BB105" s="702"/>
      <c r="BC105" s="688">
        <f t="shared" si="29"/>
        <v>9.0410958904109592E-2</v>
      </c>
    </row>
    <row r="106" spans="2:55" x14ac:dyDescent="0.25">
      <c r="B106" s="662" t="s">
        <v>1009</v>
      </c>
      <c r="C106" s="662" t="s">
        <v>932</v>
      </c>
      <c r="D106" s="663"/>
      <c r="E106" s="662">
        <v>34</v>
      </c>
      <c r="F106" s="662">
        <v>30</v>
      </c>
      <c r="G106" s="662">
        <v>32</v>
      </c>
      <c r="H106" s="662">
        <v>27</v>
      </c>
      <c r="I106" s="662">
        <v>30</v>
      </c>
      <c r="J106" s="662">
        <v>29</v>
      </c>
      <c r="K106" s="662">
        <v>35</v>
      </c>
      <c r="L106" s="662">
        <v>27</v>
      </c>
      <c r="M106" s="662">
        <v>26</v>
      </c>
      <c r="N106" s="662">
        <v>27</v>
      </c>
      <c r="O106" s="662">
        <v>30</v>
      </c>
      <c r="P106" s="662">
        <v>33</v>
      </c>
      <c r="Q106" s="681">
        <f t="shared" si="24"/>
        <v>360</v>
      </c>
      <c r="R106" s="691"/>
      <c r="S106" s="662">
        <v>34</v>
      </c>
      <c r="T106" s="662">
        <v>36</v>
      </c>
      <c r="U106" s="662">
        <v>29</v>
      </c>
      <c r="V106" s="662">
        <v>26</v>
      </c>
      <c r="W106" s="683">
        <f t="shared" si="37"/>
        <v>29.753424657534246</v>
      </c>
      <c r="X106" s="683">
        <v>30</v>
      </c>
      <c r="Y106" s="683">
        <v>30</v>
      </c>
      <c r="Z106" s="683">
        <v>30</v>
      </c>
      <c r="AA106" s="683">
        <v>30</v>
      </c>
      <c r="AB106" s="683">
        <v>30</v>
      </c>
      <c r="AC106" s="683">
        <v>30</v>
      </c>
      <c r="AD106" s="683">
        <v>30</v>
      </c>
      <c r="AE106" s="684">
        <f t="shared" si="36"/>
        <v>364.75342465753425</v>
      </c>
      <c r="AG106" s="692">
        <v>29</v>
      </c>
      <c r="AH106" s="692">
        <v>29</v>
      </c>
      <c r="AI106" s="692">
        <v>29</v>
      </c>
      <c r="AJ106" s="692">
        <v>29</v>
      </c>
      <c r="AK106" s="692">
        <v>29</v>
      </c>
      <c r="AL106" s="692">
        <v>29</v>
      </c>
      <c r="AM106" s="692">
        <v>29</v>
      </c>
      <c r="AN106" s="692">
        <v>29</v>
      </c>
      <c r="AO106" s="692">
        <v>29</v>
      </c>
      <c r="AP106" s="692">
        <v>29</v>
      </c>
      <c r="AQ106" s="692">
        <v>29</v>
      </c>
      <c r="AR106" s="692">
        <v>29</v>
      </c>
      <c r="AS106" s="685">
        <f t="shared" si="40"/>
        <v>348</v>
      </c>
      <c r="AU106" s="686">
        <f t="shared" si="26"/>
        <v>360</v>
      </c>
      <c r="AV106" s="665">
        <f t="shared" si="30"/>
        <v>364.75342465753425</v>
      </c>
      <c r="AW106" s="687">
        <f t="shared" si="27"/>
        <v>1.32039573820395E-2</v>
      </c>
      <c r="AX106" s="702">
        <f t="shared" si="28"/>
        <v>348</v>
      </c>
      <c r="AY106" s="687">
        <f t="shared" si="31"/>
        <v>-4.5930822097870583E-2</v>
      </c>
      <c r="AZ106" s="687"/>
      <c r="BA106" s="687"/>
      <c r="BB106" s="702"/>
      <c r="BC106" s="688">
        <f t="shared" si="29"/>
        <v>0.99178082191780825</v>
      </c>
    </row>
    <row r="107" spans="2:55" x14ac:dyDescent="0.25">
      <c r="C107" s="662" t="s">
        <v>939</v>
      </c>
      <c r="D107" s="663"/>
      <c r="K107" s="662">
        <v>1</v>
      </c>
      <c r="L107" s="662">
        <v>1</v>
      </c>
      <c r="M107" s="662">
        <v>4</v>
      </c>
      <c r="Q107" s="681">
        <f t="shared" si="24"/>
        <v>6</v>
      </c>
      <c r="R107" s="691"/>
      <c r="S107" s="662">
        <v>1</v>
      </c>
      <c r="W107" s="683">
        <v>0</v>
      </c>
      <c r="X107" s="683">
        <v>1</v>
      </c>
      <c r="Y107" s="683">
        <v>0</v>
      </c>
      <c r="Z107" s="683">
        <v>0</v>
      </c>
      <c r="AA107" s="683">
        <v>1</v>
      </c>
      <c r="AB107" s="683">
        <v>0</v>
      </c>
      <c r="AC107" s="683">
        <v>0</v>
      </c>
      <c r="AD107" s="683">
        <v>0</v>
      </c>
      <c r="AE107" s="684">
        <f t="shared" si="36"/>
        <v>3</v>
      </c>
      <c r="AG107" s="692">
        <v>1</v>
      </c>
      <c r="AH107" s="692">
        <v>0</v>
      </c>
      <c r="AI107" s="692">
        <v>0</v>
      </c>
      <c r="AJ107" s="692">
        <v>0</v>
      </c>
      <c r="AK107" s="692">
        <v>1</v>
      </c>
      <c r="AL107" s="692">
        <v>0</v>
      </c>
      <c r="AM107" s="692">
        <v>0</v>
      </c>
      <c r="AN107" s="692">
        <v>0</v>
      </c>
      <c r="AO107" s="692">
        <v>1</v>
      </c>
      <c r="AP107" s="692">
        <v>0</v>
      </c>
      <c r="AQ107" s="692">
        <v>0</v>
      </c>
      <c r="AR107" s="692">
        <v>0</v>
      </c>
      <c r="AS107" s="685">
        <f t="shared" si="40"/>
        <v>3</v>
      </c>
      <c r="AU107" s="686">
        <f t="shared" si="26"/>
        <v>6</v>
      </c>
      <c r="AV107" s="665">
        <f t="shared" si="30"/>
        <v>3</v>
      </c>
      <c r="AW107" s="687">
        <f t="shared" si="27"/>
        <v>-0.5</v>
      </c>
      <c r="AX107" s="702">
        <f t="shared" si="28"/>
        <v>3</v>
      </c>
      <c r="AY107" s="687">
        <f t="shared" si="31"/>
        <v>0</v>
      </c>
      <c r="AZ107" s="687"/>
      <c r="BA107" s="687"/>
      <c r="BB107" s="702"/>
      <c r="BC107" s="688">
        <f t="shared" si="29"/>
        <v>1.9178082191780823E-2</v>
      </c>
    </row>
    <row r="108" spans="2:55" x14ac:dyDescent="0.25">
      <c r="B108" s="662" t="s">
        <v>1010</v>
      </c>
      <c r="C108" s="662" t="s">
        <v>939</v>
      </c>
      <c r="D108" s="663"/>
      <c r="E108" s="662">
        <v>4</v>
      </c>
      <c r="F108" s="662">
        <v>3</v>
      </c>
      <c r="G108" s="662">
        <v>3</v>
      </c>
      <c r="H108" s="662">
        <v>5</v>
      </c>
      <c r="I108" s="662">
        <v>3</v>
      </c>
      <c r="J108" s="662">
        <v>3</v>
      </c>
      <c r="K108" s="662">
        <v>3</v>
      </c>
      <c r="L108" s="662">
        <v>4</v>
      </c>
      <c r="M108" s="662">
        <v>4</v>
      </c>
      <c r="N108" s="662">
        <v>2</v>
      </c>
      <c r="O108" s="662">
        <v>5</v>
      </c>
      <c r="P108" s="662">
        <v>3</v>
      </c>
      <c r="Q108" s="681">
        <f t="shared" si="24"/>
        <v>42</v>
      </c>
      <c r="R108" s="691"/>
      <c r="S108" s="662">
        <v>1</v>
      </c>
      <c r="T108" s="662">
        <v>5</v>
      </c>
      <c r="U108" s="662">
        <v>4</v>
      </c>
      <c r="V108" s="662">
        <v>3</v>
      </c>
      <c r="W108" s="683">
        <v>3</v>
      </c>
      <c r="X108" s="683">
        <v>6</v>
      </c>
      <c r="Y108" s="683">
        <f t="shared" si="41"/>
        <v>3.3972602739726026</v>
      </c>
      <c r="Z108" s="683">
        <f t="shared" si="41"/>
        <v>3.0684931506849313</v>
      </c>
      <c r="AA108" s="683">
        <f t="shared" si="41"/>
        <v>3.3972602739726026</v>
      </c>
      <c r="AB108" s="683">
        <v>4</v>
      </c>
      <c r="AC108" s="683">
        <v>4</v>
      </c>
      <c r="AD108" s="683">
        <f t="shared" si="41"/>
        <v>3.2876712328767121</v>
      </c>
      <c r="AE108" s="684">
        <f t="shared" si="36"/>
        <v>43.150684931506852</v>
      </c>
      <c r="AG108" s="692">
        <v>4</v>
      </c>
      <c r="AH108" s="692">
        <v>4</v>
      </c>
      <c r="AI108" s="692">
        <v>4</v>
      </c>
      <c r="AJ108" s="692">
        <v>4</v>
      </c>
      <c r="AK108" s="692">
        <v>4</v>
      </c>
      <c r="AL108" s="692">
        <v>4</v>
      </c>
      <c r="AM108" s="692">
        <v>4</v>
      </c>
      <c r="AN108" s="692">
        <v>4</v>
      </c>
      <c r="AO108" s="692">
        <v>4</v>
      </c>
      <c r="AP108" s="692">
        <v>4</v>
      </c>
      <c r="AQ108" s="692">
        <v>4</v>
      </c>
      <c r="AR108" s="692">
        <v>4</v>
      </c>
      <c r="AS108" s="685">
        <f t="shared" si="40"/>
        <v>48</v>
      </c>
      <c r="AU108" s="686">
        <f t="shared" si="26"/>
        <v>42</v>
      </c>
      <c r="AV108" s="665">
        <f t="shared" si="30"/>
        <v>43.150684931506852</v>
      </c>
      <c r="AW108" s="687">
        <f t="shared" si="27"/>
        <v>2.7397260273972712E-2</v>
      </c>
      <c r="AX108" s="702">
        <f t="shared" si="28"/>
        <v>48</v>
      </c>
      <c r="AY108" s="687">
        <f t="shared" si="31"/>
        <v>0.11238095238095225</v>
      </c>
      <c r="AZ108" s="687"/>
      <c r="BA108" s="687"/>
      <c r="BB108" s="702"/>
      <c r="BC108" s="688">
        <f t="shared" si="29"/>
        <v>0.1095890410958904</v>
      </c>
    </row>
    <row r="109" spans="2:55" x14ac:dyDescent="0.25">
      <c r="C109" s="662" t="s">
        <v>961</v>
      </c>
      <c r="D109" s="663"/>
      <c r="E109" s="662">
        <v>9</v>
      </c>
      <c r="F109" s="662">
        <v>3</v>
      </c>
      <c r="G109" s="662">
        <v>8</v>
      </c>
      <c r="H109" s="662">
        <v>1</v>
      </c>
      <c r="I109" s="662">
        <v>7</v>
      </c>
      <c r="J109" s="662">
        <v>5</v>
      </c>
      <c r="K109" s="662">
        <v>8</v>
      </c>
      <c r="L109" s="662">
        <v>7</v>
      </c>
      <c r="M109" s="662">
        <v>2</v>
      </c>
      <c r="N109" s="662">
        <v>5</v>
      </c>
      <c r="P109" s="662">
        <v>6</v>
      </c>
      <c r="Q109" s="681">
        <f t="shared" si="24"/>
        <v>61</v>
      </c>
      <c r="R109" s="691"/>
      <c r="S109" s="662">
        <v>2</v>
      </c>
      <c r="T109" s="662">
        <v>1</v>
      </c>
      <c r="U109" s="662">
        <v>6</v>
      </c>
      <c r="V109" s="662">
        <v>6</v>
      </c>
      <c r="W109" s="683">
        <v>5</v>
      </c>
      <c r="X109" s="683">
        <v>8</v>
      </c>
      <c r="Y109" s="683">
        <v>7</v>
      </c>
      <c r="Z109" s="683">
        <v>2</v>
      </c>
      <c r="AA109" s="683">
        <v>5</v>
      </c>
      <c r="AB109" s="683">
        <v>2</v>
      </c>
      <c r="AC109" s="683">
        <v>6</v>
      </c>
      <c r="AD109" s="683">
        <f t="shared" si="41"/>
        <v>4.5205479452054789</v>
      </c>
      <c r="AE109" s="684">
        <f t="shared" si="36"/>
        <v>54.520547945205479</v>
      </c>
      <c r="AG109" s="692">
        <v>5</v>
      </c>
      <c r="AH109" s="692">
        <v>5</v>
      </c>
      <c r="AI109" s="692">
        <v>5</v>
      </c>
      <c r="AJ109" s="692">
        <v>5</v>
      </c>
      <c r="AK109" s="692">
        <v>5</v>
      </c>
      <c r="AL109" s="692">
        <v>4</v>
      </c>
      <c r="AM109" s="692">
        <v>5</v>
      </c>
      <c r="AN109" s="692">
        <v>5</v>
      </c>
      <c r="AO109" s="692">
        <v>5</v>
      </c>
      <c r="AP109" s="692">
        <v>5</v>
      </c>
      <c r="AQ109" s="692">
        <v>5</v>
      </c>
      <c r="AR109" s="692">
        <v>4</v>
      </c>
      <c r="AS109" s="685">
        <f t="shared" si="40"/>
        <v>58</v>
      </c>
      <c r="AU109" s="686">
        <f t="shared" si="26"/>
        <v>61</v>
      </c>
      <c r="AV109" s="665">
        <f t="shared" si="30"/>
        <v>54.520547945205479</v>
      </c>
      <c r="AW109" s="687">
        <f t="shared" si="27"/>
        <v>-0.10622052548843475</v>
      </c>
      <c r="AX109" s="702">
        <f t="shared" si="28"/>
        <v>58</v>
      </c>
      <c r="AY109" s="687">
        <f t="shared" si="31"/>
        <v>6.3819095477386956E-2</v>
      </c>
      <c r="AZ109" s="687"/>
      <c r="BA109" s="687"/>
      <c r="BB109" s="702"/>
      <c r="BC109" s="688">
        <f t="shared" si="29"/>
        <v>0.15068493150684931</v>
      </c>
    </row>
    <row r="110" spans="2:55" x14ac:dyDescent="0.25">
      <c r="B110" s="662" t="s">
        <v>759</v>
      </c>
      <c r="C110" s="662" t="s">
        <v>939</v>
      </c>
      <c r="D110" s="663" t="s">
        <v>1011</v>
      </c>
      <c r="P110" s="662">
        <v>2</v>
      </c>
      <c r="Q110" s="681">
        <f t="shared" si="24"/>
        <v>2</v>
      </c>
      <c r="R110" s="691"/>
      <c r="W110" s="683">
        <v>0</v>
      </c>
      <c r="X110" s="683">
        <v>0</v>
      </c>
      <c r="Y110" s="683">
        <v>2</v>
      </c>
      <c r="Z110" s="683">
        <v>5</v>
      </c>
      <c r="AA110" s="683">
        <v>10</v>
      </c>
      <c r="AB110" s="683">
        <v>10</v>
      </c>
      <c r="AC110" s="683">
        <v>10</v>
      </c>
      <c r="AD110" s="683">
        <v>10</v>
      </c>
      <c r="AE110" s="684">
        <f t="shared" si="36"/>
        <v>47</v>
      </c>
      <c r="AG110" s="692">
        <v>20</v>
      </c>
      <c r="AH110" s="692">
        <v>20</v>
      </c>
      <c r="AI110" s="692">
        <v>20</v>
      </c>
      <c r="AJ110" s="692">
        <v>20</v>
      </c>
      <c r="AK110" s="692">
        <v>20</v>
      </c>
      <c r="AL110" s="692">
        <v>20</v>
      </c>
      <c r="AM110" s="692">
        <v>20</v>
      </c>
      <c r="AN110" s="692">
        <v>20</v>
      </c>
      <c r="AO110" s="692">
        <v>20</v>
      </c>
      <c r="AP110" s="692">
        <v>20</v>
      </c>
      <c r="AQ110" s="692">
        <v>20</v>
      </c>
      <c r="AR110" s="692">
        <v>20</v>
      </c>
      <c r="AS110" s="685">
        <f t="shared" si="40"/>
        <v>240</v>
      </c>
      <c r="AU110" s="686">
        <f t="shared" si="26"/>
        <v>2</v>
      </c>
      <c r="AV110" s="665">
        <f t="shared" si="30"/>
        <v>47</v>
      </c>
      <c r="AW110" s="687">
        <f t="shared" si="27"/>
        <v>22.5</v>
      </c>
      <c r="AX110" s="702">
        <f t="shared" si="28"/>
        <v>240</v>
      </c>
      <c r="AY110" s="687">
        <f t="shared" si="31"/>
        <v>4.1063829787234045</v>
      </c>
      <c r="AZ110" s="687"/>
      <c r="BA110" s="687"/>
      <c r="BB110" s="702"/>
      <c r="BC110" s="688">
        <f t="shared" si="29"/>
        <v>5.4794520547945206E-3</v>
      </c>
    </row>
    <row r="111" spans="2:55" x14ac:dyDescent="0.25">
      <c r="B111" s="662" t="s">
        <v>1012</v>
      </c>
      <c r="C111" s="662" t="s">
        <v>939</v>
      </c>
      <c r="D111" s="663" t="s">
        <v>1013</v>
      </c>
      <c r="P111" s="691"/>
      <c r="Q111" s="681">
        <f t="shared" si="24"/>
        <v>0</v>
      </c>
      <c r="R111" s="691"/>
      <c r="T111" s="662">
        <v>3</v>
      </c>
      <c r="U111" s="662">
        <v>20</v>
      </c>
      <c r="V111" s="662">
        <v>25</v>
      </c>
      <c r="W111" s="683">
        <v>25</v>
      </c>
      <c r="X111" s="683">
        <v>22</v>
      </c>
      <c r="Y111" s="683">
        <v>25</v>
      </c>
      <c r="Z111" s="683">
        <v>25</v>
      </c>
      <c r="AA111" s="683">
        <v>25</v>
      </c>
      <c r="AB111" s="683">
        <v>26</v>
      </c>
      <c r="AC111" s="683">
        <v>25</v>
      </c>
      <c r="AD111" s="683">
        <v>25</v>
      </c>
      <c r="AE111" s="684">
        <f t="shared" si="36"/>
        <v>246</v>
      </c>
      <c r="AG111" s="692">
        <v>25</v>
      </c>
      <c r="AH111" s="692">
        <v>25</v>
      </c>
      <c r="AI111" s="692">
        <v>25</v>
      </c>
      <c r="AJ111" s="692">
        <v>25</v>
      </c>
      <c r="AK111" s="692">
        <v>25</v>
      </c>
      <c r="AL111" s="692">
        <v>25</v>
      </c>
      <c r="AM111" s="692">
        <v>25</v>
      </c>
      <c r="AN111" s="692">
        <v>25</v>
      </c>
      <c r="AO111" s="692">
        <v>25</v>
      </c>
      <c r="AP111" s="692">
        <v>25</v>
      </c>
      <c r="AQ111" s="692">
        <v>25</v>
      </c>
      <c r="AR111" s="692">
        <v>25</v>
      </c>
      <c r="AS111" s="685">
        <f t="shared" si="40"/>
        <v>300</v>
      </c>
      <c r="AU111" s="686">
        <f t="shared" si="26"/>
        <v>0</v>
      </c>
      <c r="AV111" s="665">
        <f t="shared" si="30"/>
        <v>246</v>
      </c>
      <c r="AW111" s="687">
        <v>1</v>
      </c>
      <c r="AX111" s="702">
        <f t="shared" si="28"/>
        <v>300</v>
      </c>
      <c r="AY111" s="687">
        <f t="shared" si="31"/>
        <v>0.21951219512195119</v>
      </c>
      <c r="AZ111" s="687"/>
      <c r="BA111" s="687"/>
      <c r="BB111" s="702"/>
      <c r="BC111" s="688">
        <f t="shared" si="29"/>
        <v>0.13150684931506848</v>
      </c>
    </row>
    <row r="112" spans="2:55" x14ac:dyDescent="0.25">
      <c r="B112" s="662" t="s">
        <v>1014</v>
      </c>
      <c r="C112" s="662" t="s">
        <v>939</v>
      </c>
      <c r="D112" s="663" t="s">
        <v>1013</v>
      </c>
      <c r="E112" s="664"/>
      <c r="F112" s="664"/>
      <c r="G112" s="664"/>
      <c r="H112" s="664"/>
      <c r="I112" s="664"/>
      <c r="J112" s="664"/>
      <c r="K112" s="664"/>
      <c r="L112" s="664"/>
      <c r="M112" s="664"/>
      <c r="N112" s="664"/>
      <c r="O112" s="664"/>
      <c r="P112" s="681"/>
      <c r="Q112" s="681">
        <f t="shared" si="24"/>
        <v>0</v>
      </c>
      <c r="R112" s="681"/>
      <c r="V112" s="662">
        <v>8</v>
      </c>
      <c r="W112" s="683">
        <v>20</v>
      </c>
      <c r="X112" s="683">
        <v>20</v>
      </c>
      <c r="Y112" s="683">
        <v>25</v>
      </c>
      <c r="Z112" s="683">
        <v>25</v>
      </c>
      <c r="AA112" s="683">
        <v>25</v>
      </c>
      <c r="AB112" s="683">
        <v>26</v>
      </c>
      <c r="AC112" s="683">
        <v>25</v>
      </c>
      <c r="AD112" s="683">
        <v>25</v>
      </c>
      <c r="AE112" s="684">
        <f t="shared" si="36"/>
        <v>199</v>
      </c>
      <c r="AF112" s="685"/>
      <c r="AG112" s="692">
        <v>25</v>
      </c>
      <c r="AH112" s="692">
        <v>25</v>
      </c>
      <c r="AI112" s="692">
        <v>25</v>
      </c>
      <c r="AJ112" s="692">
        <v>25</v>
      </c>
      <c r="AK112" s="692">
        <v>25</v>
      </c>
      <c r="AL112" s="692">
        <v>25</v>
      </c>
      <c r="AM112" s="692">
        <v>25</v>
      </c>
      <c r="AN112" s="692">
        <v>25</v>
      </c>
      <c r="AO112" s="692">
        <v>25</v>
      </c>
      <c r="AP112" s="692">
        <v>25</v>
      </c>
      <c r="AQ112" s="692">
        <v>25</v>
      </c>
      <c r="AR112" s="692">
        <v>25</v>
      </c>
      <c r="AS112" s="685">
        <f t="shared" si="40"/>
        <v>300</v>
      </c>
      <c r="AT112" s="685"/>
      <c r="AU112" s="686">
        <f t="shared" si="26"/>
        <v>0</v>
      </c>
      <c r="AV112" s="665">
        <f t="shared" si="30"/>
        <v>199</v>
      </c>
      <c r="AW112" s="687">
        <v>1</v>
      </c>
      <c r="AX112" s="702">
        <f t="shared" si="28"/>
        <v>300</v>
      </c>
      <c r="AY112" s="687">
        <f t="shared" si="31"/>
        <v>0.50753768844221114</v>
      </c>
      <c r="AZ112" s="687"/>
      <c r="BA112" s="687"/>
      <c r="BB112" s="702"/>
      <c r="BC112" s="688">
        <f t="shared" si="29"/>
        <v>2.1917808219178082E-2</v>
      </c>
    </row>
    <row r="113" spans="2:55" x14ac:dyDescent="0.25">
      <c r="B113" s="662" t="s">
        <v>1015</v>
      </c>
      <c r="C113" s="662" t="s">
        <v>932</v>
      </c>
      <c r="D113" s="663" t="s">
        <v>1004</v>
      </c>
      <c r="K113" s="662">
        <v>3</v>
      </c>
      <c r="N113" s="662">
        <v>1</v>
      </c>
      <c r="Q113" s="681">
        <f t="shared" si="24"/>
        <v>4</v>
      </c>
      <c r="R113" s="691"/>
      <c r="S113" s="662">
        <v>3</v>
      </c>
      <c r="W113" s="683">
        <v>0</v>
      </c>
      <c r="X113" s="683">
        <v>0</v>
      </c>
      <c r="Y113" s="683">
        <v>0</v>
      </c>
      <c r="Z113" s="683">
        <v>0</v>
      </c>
      <c r="AA113" s="683">
        <v>0</v>
      </c>
      <c r="AB113" s="683">
        <v>0</v>
      </c>
      <c r="AC113" s="683">
        <v>0</v>
      </c>
      <c r="AD113" s="683">
        <v>0</v>
      </c>
      <c r="AE113" s="684">
        <f t="shared" si="36"/>
        <v>3</v>
      </c>
      <c r="AG113" s="692">
        <v>0</v>
      </c>
      <c r="AH113" s="692">
        <v>0</v>
      </c>
      <c r="AI113" s="692">
        <v>0</v>
      </c>
      <c r="AJ113" s="692">
        <v>0</v>
      </c>
      <c r="AK113" s="692">
        <v>0</v>
      </c>
      <c r="AL113" s="692">
        <v>0</v>
      </c>
      <c r="AM113" s="692">
        <v>0</v>
      </c>
      <c r="AN113" s="692">
        <v>0</v>
      </c>
      <c r="AO113" s="692">
        <v>0</v>
      </c>
      <c r="AP113" s="692">
        <v>0</v>
      </c>
      <c r="AQ113" s="692">
        <v>0</v>
      </c>
      <c r="AR113" s="692">
        <v>0</v>
      </c>
      <c r="AS113" s="685">
        <f t="shared" si="40"/>
        <v>0</v>
      </c>
      <c r="AU113" s="686">
        <f t="shared" si="26"/>
        <v>4</v>
      </c>
      <c r="AV113" s="665">
        <f t="shared" si="30"/>
        <v>3</v>
      </c>
      <c r="AW113" s="687">
        <f t="shared" si="27"/>
        <v>-0.25</v>
      </c>
      <c r="AX113" s="702">
        <f t="shared" si="28"/>
        <v>0</v>
      </c>
      <c r="AY113" s="687">
        <f t="shared" si="31"/>
        <v>-1</v>
      </c>
      <c r="AZ113" s="687"/>
      <c r="BA113" s="687"/>
      <c r="BB113" s="702"/>
      <c r="BC113" s="688">
        <f t="shared" si="29"/>
        <v>1.9178082191780823E-2</v>
      </c>
    </row>
    <row r="114" spans="2:55" x14ac:dyDescent="0.25">
      <c r="B114" s="662" t="s">
        <v>1016</v>
      </c>
      <c r="C114" s="662" t="s">
        <v>939</v>
      </c>
      <c r="D114" s="663" t="s">
        <v>1017</v>
      </c>
      <c r="E114" s="662">
        <v>9</v>
      </c>
      <c r="O114" s="662">
        <v>1</v>
      </c>
      <c r="P114" s="662">
        <v>2</v>
      </c>
      <c r="Q114" s="681">
        <f t="shared" si="24"/>
        <v>12</v>
      </c>
      <c r="R114" s="691"/>
      <c r="S114" s="662">
        <v>1</v>
      </c>
      <c r="U114" s="662">
        <v>1</v>
      </c>
      <c r="W114" s="683">
        <v>0</v>
      </c>
      <c r="X114" s="683">
        <v>0</v>
      </c>
      <c r="Y114" s="683">
        <v>0</v>
      </c>
      <c r="Z114" s="683">
        <v>0</v>
      </c>
      <c r="AA114" s="683">
        <v>0</v>
      </c>
      <c r="AB114" s="683">
        <v>0</v>
      </c>
      <c r="AC114" s="683">
        <v>0</v>
      </c>
      <c r="AD114" s="683">
        <v>0</v>
      </c>
      <c r="AE114" s="684">
        <f t="shared" si="36"/>
        <v>2</v>
      </c>
      <c r="AG114" s="692">
        <v>0</v>
      </c>
      <c r="AH114" s="692">
        <v>0</v>
      </c>
      <c r="AI114" s="692">
        <v>0</v>
      </c>
      <c r="AJ114" s="692">
        <v>0</v>
      </c>
      <c r="AK114" s="692">
        <v>0</v>
      </c>
      <c r="AL114" s="692">
        <v>0</v>
      </c>
      <c r="AM114" s="692">
        <v>0</v>
      </c>
      <c r="AN114" s="692">
        <v>0</v>
      </c>
      <c r="AO114" s="692">
        <v>0</v>
      </c>
      <c r="AP114" s="692">
        <v>0</v>
      </c>
      <c r="AQ114" s="692">
        <v>0</v>
      </c>
      <c r="AR114" s="692">
        <v>0</v>
      </c>
      <c r="AS114" s="685">
        <f t="shared" si="40"/>
        <v>0</v>
      </c>
      <c r="AU114" s="686">
        <f t="shared" si="26"/>
        <v>12</v>
      </c>
      <c r="AV114" s="665">
        <f t="shared" si="30"/>
        <v>2</v>
      </c>
      <c r="AW114" s="687">
        <f t="shared" si="27"/>
        <v>-0.83333333333333337</v>
      </c>
      <c r="AX114" s="702">
        <f t="shared" si="28"/>
        <v>0</v>
      </c>
      <c r="AY114" s="687">
        <f t="shared" si="31"/>
        <v>-1</v>
      </c>
      <c r="AZ114" s="687"/>
      <c r="BA114" s="687"/>
      <c r="BB114" s="702"/>
      <c r="BC114" s="688">
        <f t="shared" si="29"/>
        <v>1.3698630136986301E-2</v>
      </c>
    </row>
    <row r="115" spans="2:55" x14ac:dyDescent="0.25">
      <c r="C115" s="662" t="s">
        <v>961</v>
      </c>
      <c r="D115" s="663" t="s">
        <v>1017</v>
      </c>
      <c r="E115" s="662">
        <v>11</v>
      </c>
      <c r="Q115" s="681">
        <f t="shared" si="24"/>
        <v>11</v>
      </c>
      <c r="R115" s="691"/>
      <c r="T115" s="662">
        <v>1</v>
      </c>
      <c r="V115" s="662">
        <v>2</v>
      </c>
      <c r="W115" s="683">
        <v>0</v>
      </c>
      <c r="X115" s="683">
        <v>0</v>
      </c>
      <c r="Y115" s="683">
        <v>0</v>
      </c>
      <c r="Z115" s="683">
        <v>0</v>
      </c>
      <c r="AA115" s="683">
        <v>0</v>
      </c>
      <c r="AB115" s="683">
        <v>0</v>
      </c>
      <c r="AC115" s="683">
        <v>0</v>
      </c>
      <c r="AD115" s="683">
        <v>0</v>
      </c>
      <c r="AE115" s="684">
        <f t="shared" si="36"/>
        <v>3</v>
      </c>
      <c r="AG115" s="692">
        <v>0</v>
      </c>
      <c r="AH115" s="692">
        <v>0</v>
      </c>
      <c r="AI115" s="692">
        <v>0</v>
      </c>
      <c r="AJ115" s="692">
        <v>0</v>
      </c>
      <c r="AK115" s="692">
        <v>0</v>
      </c>
      <c r="AL115" s="692">
        <v>0</v>
      </c>
      <c r="AM115" s="692">
        <v>0</v>
      </c>
      <c r="AN115" s="692">
        <v>0</v>
      </c>
      <c r="AO115" s="692">
        <v>0</v>
      </c>
      <c r="AP115" s="692">
        <v>0</v>
      </c>
      <c r="AQ115" s="692">
        <v>0</v>
      </c>
      <c r="AR115" s="692">
        <v>0</v>
      </c>
      <c r="AS115" s="685">
        <f t="shared" si="40"/>
        <v>0</v>
      </c>
      <c r="AU115" s="686">
        <f t="shared" si="26"/>
        <v>11</v>
      </c>
      <c r="AV115" s="665">
        <f t="shared" si="30"/>
        <v>3</v>
      </c>
      <c r="AW115" s="687">
        <f t="shared" si="27"/>
        <v>-0.72727272727272729</v>
      </c>
      <c r="AX115" s="702">
        <f t="shared" si="28"/>
        <v>0</v>
      </c>
      <c r="AY115" s="687">
        <f t="shared" si="31"/>
        <v>-1</v>
      </c>
      <c r="AZ115" s="687"/>
      <c r="BA115" s="687"/>
      <c r="BB115" s="702"/>
      <c r="BC115" s="688">
        <f t="shared" si="29"/>
        <v>8.21917808219178E-3</v>
      </c>
    </row>
    <row r="116" spans="2:55" x14ac:dyDescent="0.25">
      <c r="B116" s="662" t="s">
        <v>1018</v>
      </c>
      <c r="C116" s="662" t="s">
        <v>932</v>
      </c>
      <c r="D116" s="663"/>
      <c r="E116" s="662">
        <v>1</v>
      </c>
      <c r="Q116" s="681">
        <f t="shared" si="24"/>
        <v>1</v>
      </c>
      <c r="R116" s="691"/>
      <c r="W116" s="683">
        <f t="shared" si="37"/>
        <v>0</v>
      </c>
      <c r="X116" s="683">
        <f t="shared" si="37"/>
        <v>0</v>
      </c>
      <c r="Y116" s="683">
        <f t="shared" si="41"/>
        <v>0</v>
      </c>
      <c r="Z116" s="683">
        <f t="shared" si="41"/>
        <v>0</v>
      </c>
      <c r="AA116" s="683">
        <f t="shared" si="41"/>
        <v>0</v>
      </c>
      <c r="AB116" s="683">
        <f t="shared" si="41"/>
        <v>0</v>
      </c>
      <c r="AC116" s="683">
        <f t="shared" si="41"/>
        <v>0</v>
      </c>
      <c r="AD116" s="683">
        <f t="shared" si="41"/>
        <v>0</v>
      </c>
      <c r="AE116" s="684">
        <f t="shared" si="36"/>
        <v>0</v>
      </c>
      <c r="AG116" s="692">
        <v>0</v>
      </c>
      <c r="AH116" s="692">
        <v>0</v>
      </c>
      <c r="AI116" s="692">
        <v>0</v>
      </c>
      <c r="AJ116" s="692">
        <v>0</v>
      </c>
      <c r="AK116" s="692">
        <v>0</v>
      </c>
      <c r="AL116" s="692">
        <v>0</v>
      </c>
      <c r="AM116" s="692">
        <v>0</v>
      </c>
      <c r="AN116" s="692">
        <v>0</v>
      </c>
      <c r="AO116" s="692">
        <v>0</v>
      </c>
      <c r="AP116" s="692">
        <v>0</v>
      </c>
      <c r="AQ116" s="692">
        <v>0</v>
      </c>
      <c r="AR116" s="692">
        <v>0</v>
      </c>
      <c r="AS116" s="685">
        <f t="shared" si="40"/>
        <v>0</v>
      </c>
      <c r="AU116" s="686">
        <f t="shared" si="26"/>
        <v>1</v>
      </c>
      <c r="AV116" s="665">
        <f t="shared" si="30"/>
        <v>0</v>
      </c>
      <c r="AW116" s="687">
        <f t="shared" si="27"/>
        <v>-1</v>
      </c>
      <c r="AX116" s="702">
        <f t="shared" si="28"/>
        <v>0</v>
      </c>
      <c r="AY116" s="687">
        <v>0</v>
      </c>
      <c r="AZ116" s="687"/>
      <c r="BA116" s="687"/>
      <c r="BB116" s="702"/>
      <c r="BC116" s="688">
        <f t="shared" si="29"/>
        <v>0</v>
      </c>
    </row>
    <row r="117" spans="2:55" x14ac:dyDescent="0.25">
      <c r="C117" s="662" t="s">
        <v>939</v>
      </c>
      <c r="D117" s="663"/>
      <c r="E117" s="662">
        <v>17</v>
      </c>
      <c r="F117" s="662">
        <v>17</v>
      </c>
      <c r="G117" s="662">
        <v>17</v>
      </c>
      <c r="H117" s="662">
        <v>20</v>
      </c>
      <c r="I117" s="662">
        <v>18</v>
      </c>
      <c r="J117" s="662">
        <v>9</v>
      </c>
      <c r="K117" s="662">
        <v>16</v>
      </c>
      <c r="L117" s="662">
        <v>10</v>
      </c>
      <c r="M117" s="662">
        <v>19</v>
      </c>
      <c r="N117" s="662">
        <v>21</v>
      </c>
      <c r="O117" s="662">
        <v>15</v>
      </c>
      <c r="P117" s="662">
        <v>26</v>
      </c>
      <c r="Q117" s="681">
        <f t="shared" si="24"/>
        <v>205</v>
      </c>
      <c r="R117" s="691"/>
      <c r="S117" s="662">
        <v>33</v>
      </c>
      <c r="T117" s="662">
        <v>20</v>
      </c>
      <c r="U117" s="662">
        <v>20</v>
      </c>
      <c r="V117" s="662">
        <v>16</v>
      </c>
      <c r="W117" s="683">
        <f t="shared" si="37"/>
        <v>18.328767123287673</v>
      </c>
      <c r="X117" s="683">
        <v>13</v>
      </c>
      <c r="Y117" s="683">
        <v>16</v>
      </c>
      <c r="Z117" s="683">
        <v>10</v>
      </c>
      <c r="AA117" s="683">
        <f t="shared" si="41"/>
        <v>18.939726027397263</v>
      </c>
      <c r="AB117" s="683">
        <v>21</v>
      </c>
      <c r="AC117" s="683">
        <v>15</v>
      </c>
      <c r="AD117" s="683">
        <v>26</v>
      </c>
      <c r="AE117" s="684">
        <f t="shared" si="36"/>
        <v>227.26849315068492</v>
      </c>
      <c r="AG117" s="692">
        <v>20</v>
      </c>
      <c r="AH117" s="692">
        <v>19</v>
      </c>
      <c r="AI117" s="692">
        <v>19</v>
      </c>
      <c r="AJ117" s="692">
        <v>20</v>
      </c>
      <c r="AK117" s="692">
        <v>19</v>
      </c>
      <c r="AL117" s="692">
        <v>19</v>
      </c>
      <c r="AM117" s="692">
        <v>20</v>
      </c>
      <c r="AN117" s="692">
        <v>19</v>
      </c>
      <c r="AO117" s="692">
        <v>19</v>
      </c>
      <c r="AP117" s="692">
        <v>19</v>
      </c>
      <c r="AQ117" s="692">
        <v>19</v>
      </c>
      <c r="AR117" s="692">
        <v>20</v>
      </c>
      <c r="AS117" s="685">
        <f>SUM(AG117:AR117)</f>
        <v>232</v>
      </c>
      <c r="AU117" s="686">
        <f t="shared" si="26"/>
        <v>205</v>
      </c>
      <c r="AV117" s="665">
        <f t="shared" si="30"/>
        <v>227.26849315068492</v>
      </c>
      <c r="AW117" s="687">
        <f t="shared" si="27"/>
        <v>0.10862679585699953</v>
      </c>
      <c r="AX117" s="702">
        <f t="shared" si="28"/>
        <v>232</v>
      </c>
      <c r="AY117" s="687">
        <f t="shared" si="31"/>
        <v>2.0819017998143563E-2</v>
      </c>
      <c r="AZ117" s="687"/>
      <c r="BA117" s="687"/>
      <c r="BB117" s="702"/>
      <c r="BC117" s="688">
        <f t="shared" si="29"/>
        <v>0.61095890410958908</v>
      </c>
    </row>
    <row r="118" spans="2:55" x14ac:dyDescent="0.25">
      <c r="B118" s="662" t="s">
        <v>1019</v>
      </c>
      <c r="C118" s="662" t="s">
        <v>932</v>
      </c>
      <c r="D118" s="663" t="s">
        <v>1013</v>
      </c>
      <c r="Q118" s="681">
        <f t="shared" si="24"/>
        <v>0</v>
      </c>
      <c r="R118" s="691"/>
      <c r="T118" s="662">
        <v>16</v>
      </c>
      <c r="U118" s="662">
        <v>13</v>
      </c>
      <c r="V118" s="662">
        <v>18</v>
      </c>
      <c r="W118" s="683">
        <v>8</v>
      </c>
      <c r="X118" s="683">
        <v>8</v>
      </c>
      <c r="Y118" s="683">
        <v>8</v>
      </c>
      <c r="Z118" s="683">
        <v>8</v>
      </c>
      <c r="AA118" s="683">
        <v>8</v>
      </c>
      <c r="AB118" s="683">
        <v>8</v>
      </c>
      <c r="AC118" s="683">
        <v>8</v>
      </c>
      <c r="AD118" s="683">
        <v>8</v>
      </c>
      <c r="AE118" s="684">
        <f t="shared" si="36"/>
        <v>111</v>
      </c>
      <c r="AG118" s="692">
        <v>14</v>
      </c>
      <c r="AH118" s="692">
        <v>14</v>
      </c>
      <c r="AI118" s="692">
        <v>14</v>
      </c>
      <c r="AJ118" s="692">
        <v>14</v>
      </c>
      <c r="AK118" s="692">
        <v>14</v>
      </c>
      <c r="AL118" s="692">
        <v>14</v>
      </c>
      <c r="AM118" s="692">
        <v>14</v>
      </c>
      <c r="AN118" s="692">
        <v>14</v>
      </c>
      <c r="AO118" s="692">
        <v>14</v>
      </c>
      <c r="AP118" s="692">
        <v>14</v>
      </c>
      <c r="AQ118" s="692">
        <v>14</v>
      </c>
      <c r="AR118" s="692">
        <v>14</v>
      </c>
      <c r="AS118" s="685">
        <f t="shared" si="40"/>
        <v>168</v>
      </c>
      <c r="AU118" s="686">
        <f t="shared" si="26"/>
        <v>0</v>
      </c>
      <c r="AV118" s="665">
        <f t="shared" si="30"/>
        <v>111</v>
      </c>
      <c r="AW118" s="687">
        <v>1</v>
      </c>
      <c r="AX118" s="702">
        <f t="shared" si="28"/>
        <v>168</v>
      </c>
      <c r="AY118" s="687">
        <f t="shared" si="31"/>
        <v>0.5135135135135136</v>
      </c>
      <c r="AZ118" s="687"/>
      <c r="BA118" s="687"/>
      <c r="BB118" s="702"/>
      <c r="BC118" s="688">
        <f t="shared" si="29"/>
        <v>0.12876712328767123</v>
      </c>
    </row>
    <row r="119" spans="2:55" x14ac:dyDescent="0.25">
      <c r="C119" s="662" t="s">
        <v>939</v>
      </c>
      <c r="D119" s="663"/>
      <c r="P119" s="691"/>
      <c r="Q119" s="681">
        <f t="shared" si="24"/>
        <v>0</v>
      </c>
      <c r="R119" s="691"/>
      <c r="T119" s="662">
        <v>1</v>
      </c>
      <c r="W119" s="683">
        <v>0</v>
      </c>
      <c r="X119" s="683">
        <v>0</v>
      </c>
      <c r="Y119" s="683">
        <v>0</v>
      </c>
      <c r="Z119" s="683">
        <v>0</v>
      </c>
      <c r="AA119" s="683">
        <v>0</v>
      </c>
      <c r="AB119" s="683">
        <v>0</v>
      </c>
      <c r="AC119" s="683">
        <v>0</v>
      </c>
      <c r="AD119" s="683">
        <v>0</v>
      </c>
      <c r="AE119" s="684">
        <f t="shared" si="36"/>
        <v>1</v>
      </c>
      <c r="AG119" s="692">
        <v>0</v>
      </c>
      <c r="AH119" s="692">
        <v>0</v>
      </c>
      <c r="AI119" s="692">
        <v>0</v>
      </c>
      <c r="AJ119" s="692">
        <v>0</v>
      </c>
      <c r="AK119" s="692">
        <v>0</v>
      </c>
      <c r="AL119" s="692">
        <v>0</v>
      </c>
      <c r="AM119" s="692">
        <v>0</v>
      </c>
      <c r="AN119" s="692">
        <v>0</v>
      </c>
      <c r="AO119" s="692">
        <v>0</v>
      </c>
      <c r="AP119" s="692">
        <v>0</v>
      </c>
      <c r="AQ119" s="692">
        <v>0</v>
      </c>
      <c r="AR119" s="692">
        <v>0</v>
      </c>
      <c r="AS119" s="685">
        <f t="shared" si="40"/>
        <v>0</v>
      </c>
      <c r="AU119" s="686">
        <f t="shared" si="26"/>
        <v>0</v>
      </c>
      <c r="AV119" s="665">
        <f t="shared" si="30"/>
        <v>1</v>
      </c>
      <c r="AW119" s="687">
        <v>1</v>
      </c>
      <c r="AX119" s="702">
        <f t="shared" si="28"/>
        <v>0</v>
      </c>
      <c r="AY119" s="687">
        <f t="shared" si="31"/>
        <v>-1</v>
      </c>
      <c r="AZ119" s="687"/>
      <c r="BA119" s="687"/>
      <c r="BB119" s="702"/>
      <c r="BC119" s="688">
        <f t="shared" si="29"/>
        <v>2.7397260273972603E-3</v>
      </c>
    </row>
    <row r="120" spans="2:55" x14ac:dyDescent="0.25">
      <c r="B120" s="662" t="s">
        <v>1020</v>
      </c>
      <c r="C120" s="662" t="s">
        <v>939</v>
      </c>
      <c r="D120" s="663"/>
      <c r="E120" s="664"/>
      <c r="F120" s="664"/>
      <c r="G120" s="664"/>
      <c r="H120" s="664"/>
      <c r="I120" s="664">
        <v>1</v>
      </c>
      <c r="J120" s="664"/>
      <c r="K120" s="664"/>
      <c r="L120" s="664"/>
      <c r="M120" s="664"/>
      <c r="N120" s="664"/>
      <c r="O120" s="664"/>
      <c r="P120" s="681"/>
      <c r="Q120" s="681">
        <f t="shared" si="24"/>
        <v>1</v>
      </c>
      <c r="R120" s="681"/>
      <c r="S120" s="662">
        <v>1</v>
      </c>
      <c r="U120" s="662">
        <v>1</v>
      </c>
      <c r="W120" s="683">
        <v>0</v>
      </c>
      <c r="X120" s="683">
        <v>0</v>
      </c>
      <c r="Y120" s="683">
        <v>0</v>
      </c>
      <c r="Z120" s="683">
        <v>0</v>
      </c>
      <c r="AA120" s="683">
        <v>0</v>
      </c>
      <c r="AB120" s="683">
        <v>0</v>
      </c>
      <c r="AC120" s="683">
        <v>0</v>
      </c>
      <c r="AD120" s="683">
        <v>0</v>
      </c>
      <c r="AE120" s="684">
        <f t="shared" si="36"/>
        <v>2</v>
      </c>
      <c r="AF120" s="685"/>
      <c r="AG120" s="701">
        <v>0</v>
      </c>
      <c r="AH120" s="701">
        <v>0</v>
      </c>
      <c r="AI120" s="701">
        <v>0</v>
      </c>
      <c r="AJ120" s="701">
        <v>0</v>
      </c>
      <c r="AK120" s="701">
        <v>0</v>
      </c>
      <c r="AL120" s="701">
        <v>0</v>
      </c>
      <c r="AM120" s="701">
        <v>0</v>
      </c>
      <c r="AN120" s="701">
        <v>0</v>
      </c>
      <c r="AO120" s="701">
        <v>0</v>
      </c>
      <c r="AP120" s="701">
        <v>0</v>
      </c>
      <c r="AQ120" s="701">
        <v>0</v>
      </c>
      <c r="AR120" s="701">
        <v>0</v>
      </c>
      <c r="AS120" s="685">
        <f t="shared" si="40"/>
        <v>0</v>
      </c>
      <c r="AT120" s="685"/>
      <c r="AU120" s="686">
        <f t="shared" si="26"/>
        <v>1</v>
      </c>
      <c r="AV120" s="665">
        <f t="shared" si="30"/>
        <v>2</v>
      </c>
      <c r="AW120" s="687">
        <f t="shared" si="27"/>
        <v>1</v>
      </c>
      <c r="AX120" s="702">
        <f t="shared" si="28"/>
        <v>0</v>
      </c>
      <c r="AY120" s="687">
        <f t="shared" si="31"/>
        <v>-1</v>
      </c>
      <c r="AZ120" s="687"/>
      <c r="BA120" s="687"/>
      <c r="BB120" s="702"/>
      <c r="BC120" s="688">
        <f t="shared" si="29"/>
        <v>8.21917808219178E-3</v>
      </c>
    </row>
    <row r="121" spans="2:55" x14ac:dyDescent="0.25">
      <c r="C121" s="662" t="s">
        <v>961</v>
      </c>
      <c r="D121" s="663"/>
      <c r="E121" s="662">
        <v>4</v>
      </c>
      <c r="F121" s="662">
        <v>1</v>
      </c>
      <c r="G121" s="662">
        <v>1</v>
      </c>
      <c r="H121" s="662">
        <v>1</v>
      </c>
      <c r="I121" s="662">
        <v>1</v>
      </c>
      <c r="J121" s="662">
        <v>2</v>
      </c>
      <c r="K121" s="662">
        <v>1</v>
      </c>
      <c r="L121" s="662">
        <v>5</v>
      </c>
      <c r="M121" s="662">
        <v>2</v>
      </c>
      <c r="N121" s="662">
        <v>2</v>
      </c>
      <c r="O121" s="662">
        <v>1</v>
      </c>
      <c r="P121" s="662">
        <v>4</v>
      </c>
      <c r="Q121" s="681">
        <f t="shared" si="24"/>
        <v>25</v>
      </c>
      <c r="R121" s="691"/>
      <c r="T121" s="662">
        <v>3</v>
      </c>
      <c r="U121" s="662">
        <v>2</v>
      </c>
      <c r="V121" s="662">
        <v>2</v>
      </c>
      <c r="W121" s="683">
        <v>2</v>
      </c>
      <c r="X121" s="683">
        <v>2</v>
      </c>
      <c r="Y121" s="683">
        <v>2</v>
      </c>
      <c r="Z121" s="683">
        <v>2</v>
      </c>
      <c r="AA121" s="683">
        <v>2</v>
      </c>
      <c r="AB121" s="683">
        <v>2</v>
      </c>
      <c r="AC121" s="683">
        <v>2</v>
      </c>
      <c r="AD121" s="683">
        <v>2</v>
      </c>
      <c r="AE121" s="684">
        <f t="shared" si="36"/>
        <v>23</v>
      </c>
      <c r="AG121" s="692">
        <v>2</v>
      </c>
      <c r="AH121" s="692">
        <v>2</v>
      </c>
      <c r="AI121" s="692">
        <v>2</v>
      </c>
      <c r="AJ121" s="692">
        <v>2</v>
      </c>
      <c r="AK121" s="692">
        <v>2</v>
      </c>
      <c r="AL121" s="692">
        <v>2</v>
      </c>
      <c r="AM121" s="692">
        <v>2</v>
      </c>
      <c r="AN121" s="692">
        <v>2</v>
      </c>
      <c r="AO121" s="692">
        <v>2</v>
      </c>
      <c r="AP121" s="692">
        <v>2</v>
      </c>
      <c r="AQ121" s="692">
        <v>2</v>
      </c>
      <c r="AR121" s="692">
        <v>2</v>
      </c>
      <c r="AS121" s="685">
        <f t="shared" si="40"/>
        <v>24</v>
      </c>
      <c r="AU121" s="686">
        <f t="shared" si="26"/>
        <v>25</v>
      </c>
      <c r="AV121" s="665">
        <f t="shared" si="30"/>
        <v>23</v>
      </c>
      <c r="AW121" s="687">
        <f t="shared" si="27"/>
        <v>-7.999999999999996E-2</v>
      </c>
      <c r="AX121" s="702">
        <f t="shared" si="28"/>
        <v>24</v>
      </c>
      <c r="AY121" s="687">
        <f t="shared" si="31"/>
        <v>4.3478260869565188E-2</v>
      </c>
      <c r="AZ121" s="687"/>
      <c r="BA121" s="687"/>
      <c r="BB121" s="702"/>
      <c r="BC121" s="688">
        <f t="shared" si="29"/>
        <v>6.8493150684931503E-2</v>
      </c>
    </row>
    <row r="122" spans="2:55" x14ac:dyDescent="0.25">
      <c r="B122" s="662" t="s">
        <v>1021</v>
      </c>
      <c r="C122" s="662" t="s">
        <v>939</v>
      </c>
      <c r="D122" s="663"/>
      <c r="E122" s="662">
        <v>10</v>
      </c>
      <c r="F122" s="662">
        <v>16</v>
      </c>
      <c r="G122" s="662">
        <v>10</v>
      </c>
      <c r="H122" s="662">
        <v>14</v>
      </c>
      <c r="I122" s="662">
        <v>7</v>
      </c>
      <c r="J122" s="662">
        <v>3</v>
      </c>
      <c r="K122" s="662">
        <v>11</v>
      </c>
      <c r="L122" s="662">
        <v>6</v>
      </c>
      <c r="M122" s="662">
        <v>10</v>
      </c>
      <c r="N122" s="662">
        <v>9</v>
      </c>
      <c r="O122" s="662">
        <v>10</v>
      </c>
      <c r="P122" s="662">
        <v>7</v>
      </c>
      <c r="Q122" s="681">
        <f t="shared" si="24"/>
        <v>113</v>
      </c>
      <c r="R122" s="691"/>
      <c r="S122" s="662">
        <v>6</v>
      </c>
      <c r="T122" s="662">
        <v>3</v>
      </c>
      <c r="U122" s="662">
        <v>4</v>
      </c>
      <c r="V122" s="662">
        <v>6</v>
      </c>
      <c r="W122" s="683">
        <f t="shared" ref="W122:X142" si="42">$BC122*W$1</f>
        <v>6.7397260273972597</v>
      </c>
      <c r="X122" s="683">
        <v>3</v>
      </c>
      <c r="Y122" s="683">
        <v>6</v>
      </c>
      <c r="Z122" s="683">
        <v>6</v>
      </c>
      <c r="AA122" s="683">
        <v>10</v>
      </c>
      <c r="AB122" s="683">
        <v>9</v>
      </c>
      <c r="AC122" s="683">
        <v>10</v>
      </c>
      <c r="AD122" s="683">
        <f t="shared" si="41"/>
        <v>6.7397260273972597</v>
      </c>
      <c r="AE122" s="684">
        <f t="shared" si="36"/>
        <v>76.479452054794521</v>
      </c>
      <c r="AG122" s="692">
        <v>7</v>
      </c>
      <c r="AH122" s="692">
        <v>7</v>
      </c>
      <c r="AI122" s="692">
        <v>7</v>
      </c>
      <c r="AJ122" s="692">
        <v>7</v>
      </c>
      <c r="AK122" s="692">
        <v>7</v>
      </c>
      <c r="AL122" s="692">
        <v>7</v>
      </c>
      <c r="AM122" s="692">
        <v>7</v>
      </c>
      <c r="AN122" s="692">
        <v>7</v>
      </c>
      <c r="AO122" s="692">
        <v>7</v>
      </c>
      <c r="AP122" s="692">
        <v>7</v>
      </c>
      <c r="AQ122" s="692">
        <v>7</v>
      </c>
      <c r="AR122" s="692">
        <v>7</v>
      </c>
      <c r="AS122" s="685">
        <f t="shared" si="40"/>
        <v>84</v>
      </c>
      <c r="AU122" s="686">
        <f t="shared" si="26"/>
        <v>113</v>
      </c>
      <c r="AV122" s="665">
        <f t="shared" si="30"/>
        <v>76.479452054794521</v>
      </c>
      <c r="AW122" s="687">
        <f t="shared" si="27"/>
        <v>-0.32319068978057941</v>
      </c>
      <c r="AX122" s="702">
        <f t="shared" si="28"/>
        <v>84</v>
      </c>
      <c r="AY122" s="687">
        <f t="shared" si="31"/>
        <v>9.8334228909188637E-2</v>
      </c>
      <c r="AZ122" s="687"/>
      <c r="BA122" s="687"/>
      <c r="BB122" s="702"/>
      <c r="BC122" s="688">
        <f t="shared" si="29"/>
        <v>0.22465753424657534</v>
      </c>
    </row>
    <row r="123" spans="2:55" x14ac:dyDescent="0.25">
      <c r="C123" s="662" t="s">
        <v>961</v>
      </c>
      <c r="D123" s="663"/>
      <c r="E123" s="662">
        <v>13</v>
      </c>
      <c r="F123" s="662">
        <v>9</v>
      </c>
      <c r="G123" s="662">
        <v>7</v>
      </c>
      <c r="H123" s="662">
        <v>1</v>
      </c>
      <c r="I123" s="662">
        <v>14</v>
      </c>
      <c r="J123" s="662">
        <v>5</v>
      </c>
      <c r="K123" s="662">
        <v>9</v>
      </c>
      <c r="L123" s="662">
        <v>6</v>
      </c>
      <c r="M123" s="662">
        <v>7</v>
      </c>
      <c r="O123" s="662">
        <v>11</v>
      </c>
      <c r="P123" s="662">
        <v>4</v>
      </c>
      <c r="Q123" s="681">
        <f t="shared" si="24"/>
        <v>86</v>
      </c>
      <c r="R123" s="691"/>
      <c r="S123" s="662">
        <v>2</v>
      </c>
      <c r="T123" s="662">
        <v>7</v>
      </c>
      <c r="U123" s="662">
        <v>9</v>
      </c>
      <c r="V123" s="662">
        <v>2</v>
      </c>
      <c r="W123" s="683">
        <v>6</v>
      </c>
      <c r="X123" s="683">
        <v>5</v>
      </c>
      <c r="Y123" s="683">
        <v>9</v>
      </c>
      <c r="Z123" s="683">
        <v>6</v>
      </c>
      <c r="AA123" s="683">
        <v>7</v>
      </c>
      <c r="AB123" s="683">
        <v>0</v>
      </c>
      <c r="AC123" s="683">
        <v>11</v>
      </c>
      <c r="AD123" s="683">
        <v>4</v>
      </c>
      <c r="AE123" s="684">
        <f t="shared" si="36"/>
        <v>68</v>
      </c>
      <c r="AG123" s="692">
        <v>6</v>
      </c>
      <c r="AH123" s="692">
        <v>6</v>
      </c>
      <c r="AI123" s="692">
        <v>6</v>
      </c>
      <c r="AJ123" s="692">
        <v>6</v>
      </c>
      <c r="AK123" s="692">
        <v>6</v>
      </c>
      <c r="AL123" s="692">
        <v>6</v>
      </c>
      <c r="AM123" s="692">
        <v>6</v>
      </c>
      <c r="AN123" s="692">
        <v>6</v>
      </c>
      <c r="AO123" s="692">
        <v>6</v>
      </c>
      <c r="AP123" s="692">
        <v>6</v>
      </c>
      <c r="AQ123" s="692">
        <v>6</v>
      </c>
      <c r="AR123" s="692">
        <v>6</v>
      </c>
      <c r="AS123" s="685">
        <f t="shared" si="40"/>
        <v>72</v>
      </c>
      <c r="AU123" s="686">
        <f t="shared" si="26"/>
        <v>86</v>
      </c>
      <c r="AV123" s="665">
        <f t="shared" si="30"/>
        <v>68</v>
      </c>
      <c r="AW123" s="687">
        <f t="shared" si="27"/>
        <v>-0.20930232558139539</v>
      </c>
      <c r="AX123" s="702">
        <f t="shared" si="28"/>
        <v>72</v>
      </c>
      <c r="AY123" s="687">
        <f t="shared" si="31"/>
        <v>5.8823529411764719E-2</v>
      </c>
      <c r="AZ123" s="687"/>
      <c r="BA123" s="687"/>
      <c r="BB123" s="702"/>
      <c r="BC123" s="688">
        <f t="shared" si="29"/>
        <v>0.20821917808219179</v>
      </c>
    </row>
    <row r="124" spans="2:55" x14ac:dyDescent="0.25">
      <c r="B124" s="662" t="s">
        <v>1022</v>
      </c>
      <c r="C124" s="662" t="s">
        <v>932</v>
      </c>
      <c r="D124" s="663" t="s">
        <v>1004</v>
      </c>
      <c r="J124" s="662">
        <v>4</v>
      </c>
      <c r="Q124" s="681">
        <f t="shared" si="24"/>
        <v>4</v>
      </c>
      <c r="R124" s="691"/>
      <c r="W124" s="683">
        <v>0</v>
      </c>
      <c r="X124" s="683">
        <v>0</v>
      </c>
      <c r="Y124" s="683">
        <v>0</v>
      </c>
      <c r="Z124" s="683">
        <v>0</v>
      </c>
      <c r="AA124" s="683">
        <v>0</v>
      </c>
      <c r="AB124" s="683">
        <v>0</v>
      </c>
      <c r="AC124" s="683">
        <v>0</v>
      </c>
      <c r="AD124" s="683">
        <v>0</v>
      </c>
      <c r="AE124" s="684">
        <f t="shared" si="36"/>
        <v>0</v>
      </c>
      <c r="AG124" s="692">
        <v>0</v>
      </c>
      <c r="AH124" s="692">
        <v>0</v>
      </c>
      <c r="AI124" s="692">
        <v>0</v>
      </c>
      <c r="AJ124" s="692">
        <v>0</v>
      </c>
      <c r="AK124" s="692">
        <v>0</v>
      </c>
      <c r="AL124" s="692">
        <v>0</v>
      </c>
      <c r="AM124" s="692">
        <v>0</v>
      </c>
      <c r="AN124" s="692">
        <v>0</v>
      </c>
      <c r="AO124" s="692">
        <v>0</v>
      </c>
      <c r="AP124" s="692">
        <v>0</v>
      </c>
      <c r="AQ124" s="692">
        <v>0</v>
      </c>
      <c r="AR124" s="692">
        <v>0</v>
      </c>
      <c r="AS124" s="685">
        <f t="shared" si="40"/>
        <v>0</v>
      </c>
      <c r="AU124" s="686">
        <f t="shared" si="26"/>
        <v>4</v>
      </c>
      <c r="AV124" s="665">
        <f t="shared" si="30"/>
        <v>0</v>
      </c>
      <c r="AW124" s="687">
        <f t="shared" si="27"/>
        <v>-1</v>
      </c>
      <c r="AX124" s="702">
        <f t="shared" si="28"/>
        <v>0</v>
      </c>
      <c r="AY124" s="687">
        <v>0</v>
      </c>
      <c r="AZ124" s="687"/>
      <c r="BA124" s="687"/>
      <c r="BB124" s="702"/>
      <c r="BC124" s="688">
        <f t="shared" si="29"/>
        <v>1.0958904109589041E-2</v>
      </c>
    </row>
    <row r="125" spans="2:55" x14ac:dyDescent="0.25">
      <c r="B125" s="662" t="s">
        <v>1023</v>
      </c>
      <c r="C125" s="662" t="s">
        <v>932</v>
      </c>
      <c r="D125" s="663"/>
      <c r="G125" s="662">
        <v>3</v>
      </c>
      <c r="Q125" s="681">
        <f t="shared" si="24"/>
        <v>3</v>
      </c>
      <c r="R125" s="691"/>
      <c r="W125" s="683">
        <f t="shared" si="42"/>
        <v>0</v>
      </c>
      <c r="X125" s="683">
        <f t="shared" si="42"/>
        <v>0</v>
      </c>
      <c r="Y125" s="683">
        <f t="shared" si="41"/>
        <v>0</v>
      </c>
      <c r="Z125" s="683">
        <f t="shared" si="41"/>
        <v>0</v>
      </c>
      <c r="AA125" s="683">
        <f t="shared" si="41"/>
        <v>0</v>
      </c>
      <c r="AB125" s="683">
        <f t="shared" si="41"/>
        <v>0</v>
      </c>
      <c r="AC125" s="683">
        <f t="shared" si="41"/>
        <v>0</v>
      </c>
      <c r="AD125" s="683">
        <f t="shared" si="41"/>
        <v>0</v>
      </c>
      <c r="AE125" s="684">
        <f t="shared" si="36"/>
        <v>0</v>
      </c>
      <c r="AG125" s="692">
        <v>0</v>
      </c>
      <c r="AH125" s="692">
        <v>0</v>
      </c>
      <c r="AI125" s="692">
        <v>0</v>
      </c>
      <c r="AJ125" s="692">
        <v>0</v>
      </c>
      <c r="AK125" s="692">
        <v>0</v>
      </c>
      <c r="AL125" s="692">
        <v>0</v>
      </c>
      <c r="AM125" s="692">
        <v>0</v>
      </c>
      <c r="AN125" s="692">
        <v>0</v>
      </c>
      <c r="AO125" s="692">
        <v>0</v>
      </c>
      <c r="AP125" s="692">
        <v>0</v>
      </c>
      <c r="AQ125" s="692">
        <v>0</v>
      </c>
      <c r="AR125" s="692">
        <v>0</v>
      </c>
      <c r="AS125" s="685">
        <f t="shared" si="40"/>
        <v>0</v>
      </c>
      <c r="AU125" s="686">
        <f t="shared" si="26"/>
        <v>3</v>
      </c>
      <c r="AV125" s="665">
        <f t="shared" si="30"/>
        <v>0</v>
      </c>
      <c r="AW125" s="687">
        <f t="shared" si="27"/>
        <v>-1</v>
      </c>
      <c r="AX125" s="702">
        <f t="shared" si="28"/>
        <v>0</v>
      </c>
      <c r="AY125" s="687">
        <v>0</v>
      </c>
      <c r="AZ125" s="687"/>
      <c r="BA125" s="687"/>
      <c r="BB125" s="702"/>
      <c r="BC125" s="688">
        <f t="shared" si="29"/>
        <v>0</v>
      </c>
    </row>
    <row r="126" spans="2:55" x14ac:dyDescent="0.25">
      <c r="C126" s="662" t="s">
        <v>939</v>
      </c>
      <c r="D126" s="663"/>
      <c r="E126" s="662">
        <v>4</v>
      </c>
      <c r="F126" s="662">
        <v>20</v>
      </c>
      <c r="G126" s="662">
        <v>11</v>
      </c>
      <c r="H126" s="662">
        <v>10</v>
      </c>
      <c r="I126" s="662">
        <v>11</v>
      </c>
      <c r="J126" s="662">
        <v>9</v>
      </c>
      <c r="K126" s="662">
        <v>4</v>
      </c>
      <c r="L126" s="662">
        <v>12</v>
      </c>
      <c r="M126" s="662">
        <v>3</v>
      </c>
      <c r="N126" s="662">
        <v>13</v>
      </c>
      <c r="O126" s="662">
        <v>14</v>
      </c>
      <c r="P126" s="662">
        <v>8</v>
      </c>
      <c r="Q126" s="681">
        <f t="shared" si="24"/>
        <v>119</v>
      </c>
      <c r="R126" s="691"/>
      <c r="S126" s="662">
        <v>15</v>
      </c>
      <c r="T126" s="662">
        <v>4</v>
      </c>
      <c r="U126" s="662">
        <v>7</v>
      </c>
      <c r="V126" s="662">
        <v>9</v>
      </c>
      <c r="W126" s="683">
        <v>9</v>
      </c>
      <c r="X126" s="683">
        <v>4</v>
      </c>
      <c r="Y126" s="683">
        <v>6</v>
      </c>
      <c r="Z126" s="683">
        <v>8</v>
      </c>
      <c r="AA126" s="683">
        <v>9</v>
      </c>
      <c r="AB126" s="683">
        <v>9</v>
      </c>
      <c r="AC126" s="683">
        <v>9</v>
      </c>
      <c r="AD126" s="683">
        <v>9</v>
      </c>
      <c r="AE126" s="684">
        <f t="shared" si="36"/>
        <v>98</v>
      </c>
      <c r="AG126" s="692">
        <v>9</v>
      </c>
      <c r="AH126" s="692">
        <v>9</v>
      </c>
      <c r="AI126" s="692">
        <v>9</v>
      </c>
      <c r="AJ126" s="692">
        <v>9</v>
      </c>
      <c r="AK126" s="692">
        <v>9</v>
      </c>
      <c r="AL126" s="692">
        <v>9</v>
      </c>
      <c r="AM126" s="692">
        <v>9</v>
      </c>
      <c r="AN126" s="692">
        <v>9</v>
      </c>
      <c r="AO126" s="692">
        <v>9</v>
      </c>
      <c r="AP126" s="692">
        <v>9</v>
      </c>
      <c r="AQ126" s="692">
        <v>9</v>
      </c>
      <c r="AR126" s="692">
        <v>9</v>
      </c>
      <c r="AS126" s="685">
        <f t="shared" si="40"/>
        <v>108</v>
      </c>
      <c r="AU126" s="686">
        <f t="shared" si="26"/>
        <v>119</v>
      </c>
      <c r="AV126" s="665">
        <f t="shared" si="30"/>
        <v>98</v>
      </c>
      <c r="AW126" s="687">
        <f t="shared" si="27"/>
        <v>-0.17647058823529416</v>
      </c>
      <c r="AX126" s="702">
        <f t="shared" si="28"/>
        <v>108</v>
      </c>
      <c r="AY126" s="687">
        <f t="shared" si="31"/>
        <v>0.1020408163265305</v>
      </c>
      <c r="AZ126" s="687"/>
      <c r="BA126" s="687"/>
      <c r="BB126" s="702"/>
      <c r="BC126" s="688">
        <f t="shared" si="29"/>
        <v>0.29863013698630136</v>
      </c>
    </row>
    <row r="127" spans="2:55" x14ac:dyDescent="0.25">
      <c r="C127" s="662" t="s">
        <v>961</v>
      </c>
      <c r="D127" s="663"/>
      <c r="E127" s="662">
        <v>4</v>
      </c>
      <c r="F127" s="662">
        <v>3</v>
      </c>
      <c r="G127" s="662">
        <v>1</v>
      </c>
      <c r="H127" s="662">
        <v>5</v>
      </c>
      <c r="I127" s="662">
        <v>2</v>
      </c>
      <c r="J127" s="662">
        <v>8</v>
      </c>
      <c r="K127" s="662">
        <v>3</v>
      </c>
      <c r="L127" s="662">
        <v>4</v>
      </c>
      <c r="M127" s="662">
        <v>4</v>
      </c>
      <c r="N127" s="662">
        <v>2</v>
      </c>
      <c r="O127" s="662">
        <v>4</v>
      </c>
      <c r="P127" s="691"/>
      <c r="Q127" s="681">
        <f t="shared" si="24"/>
        <v>40</v>
      </c>
      <c r="R127" s="691"/>
      <c r="W127" s="683">
        <v>0</v>
      </c>
      <c r="X127" s="683">
        <v>0</v>
      </c>
      <c r="Y127" s="683">
        <v>0</v>
      </c>
      <c r="Z127" s="683">
        <v>0</v>
      </c>
      <c r="AA127" s="683">
        <v>0</v>
      </c>
      <c r="AB127" s="683">
        <v>0</v>
      </c>
      <c r="AC127" s="683">
        <v>0</v>
      </c>
      <c r="AD127" s="683">
        <v>0</v>
      </c>
      <c r="AE127" s="684">
        <f t="shared" si="36"/>
        <v>0</v>
      </c>
      <c r="AG127" s="692">
        <v>0</v>
      </c>
      <c r="AH127" s="692">
        <v>0</v>
      </c>
      <c r="AI127" s="692">
        <v>0</v>
      </c>
      <c r="AJ127" s="692">
        <v>0</v>
      </c>
      <c r="AK127" s="692">
        <v>0</v>
      </c>
      <c r="AL127" s="692">
        <v>0</v>
      </c>
      <c r="AM127" s="692">
        <v>0</v>
      </c>
      <c r="AN127" s="692">
        <v>0</v>
      </c>
      <c r="AO127" s="692">
        <v>0</v>
      </c>
      <c r="AP127" s="692">
        <v>0</v>
      </c>
      <c r="AQ127" s="692">
        <v>0</v>
      </c>
      <c r="AR127" s="692">
        <v>0</v>
      </c>
      <c r="AS127" s="685">
        <f t="shared" si="40"/>
        <v>0</v>
      </c>
      <c r="AU127" s="686">
        <f t="shared" si="26"/>
        <v>40</v>
      </c>
      <c r="AV127" s="665">
        <f t="shared" si="30"/>
        <v>0</v>
      </c>
      <c r="AW127" s="687">
        <f t="shared" si="27"/>
        <v>-1</v>
      </c>
      <c r="AX127" s="702">
        <f t="shared" si="28"/>
        <v>0</v>
      </c>
      <c r="AY127" s="687">
        <v>0</v>
      </c>
      <c r="AZ127" s="687"/>
      <c r="BA127" s="687"/>
      <c r="BB127" s="702"/>
      <c r="BC127" s="688">
        <f t="shared" si="29"/>
        <v>7.3972602739726029E-2</v>
      </c>
    </row>
    <row r="128" spans="2:55" x14ac:dyDescent="0.25">
      <c r="B128" s="662" t="s">
        <v>1024</v>
      </c>
      <c r="C128" s="662" t="s">
        <v>932</v>
      </c>
      <c r="D128" s="663" t="s">
        <v>1004</v>
      </c>
      <c r="E128" s="664"/>
      <c r="F128" s="664"/>
      <c r="G128" s="664"/>
      <c r="H128" s="664"/>
      <c r="I128" s="664"/>
      <c r="J128" s="664"/>
      <c r="K128" s="664"/>
      <c r="L128" s="664"/>
      <c r="M128" s="664"/>
      <c r="N128" s="664"/>
      <c r="O128" s="664"/>
      <c r="P128" s="681">
        <v>3</v>
      </c>
      <c r="Q128" s="681">
        <f t="shared" si="24"/>
        <v>3</v>
      </c>
      <c r="R128" s="681"/>
      <c r="S128" s="662">
        <v>1</v>
      </c>
      <c r="W128" s="683">
        <v>0</v>
      </c>
      <c r="X128" s="683">
        <v>0</v>
      </c>
      <c r="Y128" s="683">
        <v>0</v>
      </c>
      <c r="Z128" s="683">
        <v>0</v>
      </c>
      <c r="AA128" s="683">
        <v>0</v>
      </c>
      <c r="AB128" s="683">
        <v>0</v>
      </c>
      <c r="AC128" s="683">
        <v>0</v>
      </c>
      <c r="AD128" s="683">
        <v>0</v>
      </c>
      <c r="AE128" s="684">
        <f t="shared" si="36"/>
        <v>1</v>
      </c>
      <c r="AG128" s="703">
        <v>0</v>
      </c>
      <c r="AH128" s="703">
        <v>0</v>
      </c>
      <c r="AI128" s="703">
        <v>0</v>
      </c>
      <c r="AJ128" s="703">
        <v>0</v>
      </c>
      <c r="AK128" s="703">
        <v>0</v>
      </c>
      <c r="AL128" s="703">
        <v>0</v>
      </c>
      <c r="AM128" s="703">
        <v>0</v>
      </c>
      <c r="AN128" s="703">
        <v>0</v>
      </c>
      <c r="AO128" s="703">
        <v>0</v>
      </c>
      <c r="AP128" s="703">
        <v>0</v>
      </c>
      <c r="AQ128" s="703">
        <v>0</v>
      </c>
      <c r="AR128" s="703">
        <v>0</v>
      </c>
      <c r="AS128" s="685">
        <f t="shared" si="40"/>
        <v>0</v>
      </c>
      <c r="AU128" s="686">
        <f t="shared" si="26"/>
        <v>3</v>
      </c>
      <c r="AV128" s="665">
        <f t="shared" si="30"/>
        <v>1</v>
      </c>
      <c r="AW128" s="687">
        <f t="shared" si="27"/>
        <v>-0.66666666666666674</v>
      </c>
      <c r="AX128" s="702">
        <f t="shared" si="28"/>
        <v>0</v>
      </c>
      <c r="AY128" s="687">
        <f t="shared" si="31"/>
        <v>-1</v>
      </c>
      <c r="AZ128" s="687"/>
      <c r="BA128" s="687"/>
      <c r="BB128" s="702"/>
      <c r="BC128" s="688">
        <f t="shared" si="29"/>
        <v>1.0958904109589041E-2</v>
      </c>
    </row>
    <row r="129" spans="1:55" x14ac:dyDescent="0.25">
      <c r="B129" s="662" t="s">
        <v>1025</v>
      </c>
      <c r="C129" s="662" t="s">
        <v>939</v>
      </c>
      <c r="D129" s="663"/>
      <c r="E129" s="662">
        <v>3</v>
      </c>
      <c r="F129" s="662">
        <v>2</v>
      </c>
      <c r="G129" s="662">
        <v>2</v>
      </c>
      <c r="H129" s="662">
        <v>1</v>
      </c>
      <c r="K129" s="662">
        <v>1</v>
      </c>
      <c r="L129" s="662">
        <v>1</v>
      </c>
      <c r="M129" s="662">
        <v>1</v>
      </c>
      <c r="N129" s="662">
        <v>1</v>
      </c>
      <c r="Q129" s="681">
        <f t="shared" si="24"/>
        <v>12</v>
      </c>
      <c r="R129" s="691"/>
      <c r="U129" s="662">
        <v>2</v>
      </c>
      <c r="W129" s="683">
        <v>0</v>
      </c>
      <c r="X129" s="683">
        <v>0</v>
      </c>
      <c r="Y129" s="683">
        <v>0</v>
      </c>
      <c r="Z129" s="683">
        <v>0</v>
      </c>
      <c r="AA129" s="683">
        <v>0</v>
      </c>
      <c r="AB129" s="683">
        <v>0</v>
      </c>
      <c r="AC129" s="683">
        <v>0</v>
      </c>
      <c r="AD129" s="683">
        <v>0</v>
      </c>
      <c r="AE129" s="684">
        <f t="shared" si="36"/>
        <v>2</v>
      </c>
      <c r="AG129" s="692">
        <v>0</v>
      </c>
      <c r="AH129" s="692">
        <v>0</v>
      </c>
      <c r="AI129" s="692">
        <v>0</v>
      </c>
      <c r="AJ129" s="692">
        <v>0</v>
      </c>
      <c r="AK129" s="692">
        <v>0</v>
      </c>
      <c r="AL129" s="692">
        <v>0</v>
      </c>
      <c r="AM129" s="692">
        <v>0</v>
      </c>
      <c r="AN129" s="692">
        <v>0</v>
      </c>
      <c r="AO129" s="692">
        <v>0</v>
      </c>
      <c r="AP129" s="692">
        <v>0</v>
      </c>
      <c r="AQ129" s="692">
        <v>0</v>
      </c>
      <c r="AR129" s="692">
        <v>0</v>
      </c>
      <c r="AS129" s="685">
        <f t="shared" si="40"/>
        <v>0</v>
      </c>
      <c r="AU129" s="686">
        <f t="shared" si="26"/>
        <v>12</v>
      </c>
      <c r="AV129" s="665">
        <f t="shared" si="30"/>
        <v>2</v>
      </c>
      <c r="AW129" s="687">
        <f t="shared" si="27"/>
        <v>-0.83333333333333337</v>
      </c>
      <c r="AX129" s="702">
        <f t="shared" si="28"/>
        <v>0</v>
      </c>
      <c r="AY129" s="687">
        <f t="shared" si="31"/>
        <v>-1</v>
      </c>
      <c r="AZ129" s="687"/>
      <c r="BA129" s="687"/>
      <c r="BB129" s="702"/>
      <c r="BC129" s="688">
        <f t="shared" si="29"/>
        <v>1.643835616438356E-2</v>
      </c>
    </row>
    <row r="130" spans="1:55" x14ac:dyDescent="0.25">
      <c r="B130" s="662" t="s">
        <v>1026</v>
      </c>
      <c r="C130" s="662" t="s">
        <v>932</v>
      </c>
      <c r="D130" s="663"/>
      <c r="G130" s="662">
        <v>1</v>
      </c>
      <c r="N130" s="662">
        <v>2</v>
      </c>
      <c r="O130" s="662">
        <v>1</v>
      </c>
      <c r="P130" s="662">
        <v>1</v>
      </c>
      <c r="Q130" s="681">
        <f t="shared" si="24"/>
        <v>5</v>
      </c>
      <c r="R130" s="691"/>
      <c r="W130" s="683">
        <v>0</v>
      </c>
      <c r="X130" s="683">
        <v>0</v>
      </c>
      <c r="Y130" s="683">
        <v>0</v>
      </c>
      <c r="Z130" s="683">
        <v>0</v>
      </c>
      <c r="AA130" s="683">
        <v>0</v>
      </c>
      <c r="AB130" s="683">
        <v>0</v>
      </c>
      <c r="AC130" s="683">
        <v>0</v>
      </c>
      <c r="AD130" s="683">
        <v>0</v>
      </c>
      <c r="AE130" s="684">
        <f t="shared" si="36"/>
        <v>0</v>
      </c>
      <c r="AG130" s="692">
        <v>0</v>
      </c>
      <c r="AH130" s="692">
        <v>0</v>
      </c>
      <c r="AI130" s="692">
        <v>0</v>
      </c>
      <c r="AJ130" s="692">
        <v>0</v>
      </c>
      <c r="AK130" s="692">
        <v>0</v>
      </c>
      <c r="AL130" s="692">
        <v>0</v>
      </c>
      <c r="AM130" s="692">
        <v>0</v>
      </c>
      <c r="AN130" s="692">
        <v>0</v>
      </c>
      <c r="AO130" s="692">
        <v>0</v>
      </c>
      <c r="AP130" s="692">
        <v>0</v>
      </c>
      <c r="AQ130" s="692">
        <v>0</v>
      </c>
      <c r="AR130" s="692">
        <v>0</v>
      </c>
      <c r="AS130" s="685">
        <f t="shared" si="40"/>
        <v>0</v>
      </c>
      <c r="AU130" s="686">
        <f t="shared" si="26"/>
        <v>5</v>
      </c>
      <c r="AV130" s="665">
        <f t="shared" si="30"/>
        <v>0</v>
      </c>
      <c r="AW130" s="687">
        <f t="shared" si="27"/>
        <v>-1</v>
      </c>
      <c r="AX130" s="702">
        <f t="shared" si="28"/>
        <v>0</v>
      </c>
      <c r="AY130" s="687">
        <v>0</v>
      </c>
      <c r="AZ130" s="687"/>
      <c r="BA130" s="687"/>
      <c r="BB130" s="702"/>
      <c r="BC130" s="688">
        <f t="shared" si="29"/>
        <v>1.0958904109589041E-2</v>
      </c>
    </row>
    <row r="131" spans="1:55" x14ac:dyDescent="0.25">
      <c r="C131" s="662" t="s">
        <v>939</v>
      </c>
      <c r="D131" s="663"/>
      <c r="E131" s="662">
        <v>12</v>
      </c>
      <c r="F131" s="662">
        <v>24</v>
      </c>
      <c r="G131" s="662">
        <v>30</v>
      </c>
      <c r="H131" s="662">
        <v>10</v>
      </c>
      <c r="I131" s="662">
        <v>15</v>
      </c>
      <c r="J131" s="662">
        <v>9</v>
      </c>
      <c r="K131" s="662">
        <v>9</v>
      </c>
      <c r="L131" s="662">
        <v>17</v>
      </c>
      <c r="M131" s="662">
        <v>12</v>
      </c>
      <c r="N131" s="662">
        <v>19</v>
      </c>
      <c r="O131" s="662">
        <v>17</v>
      </c>
      <c r="P131" s="662">
        <v>8</v>
      </c>
      <c r="Q131" s="681">
        <f t="shared" si="24"/>
        <v>182</v>
      </c>
      <c r="R131" s="691"/>
      <c r="S131" s="662">
        <v>24</v>
      </c>
      <c r="T131" s="662">
        <v>15</v>
      </c>
      <c r="U131" s="662">
        <v>15</v>
      </c>
      <c r="V131" s="662">
        <v>24</v>
      </c>
      <c r="W131" s="683">
        <f t="shared" si="42"/>
        <v>15.123287671232879</v>
      </c>
      <c r="X131" s="683">
        <v>9</v>
      </c>
      <c r="Y131" s="683">
        <v>9</v>
      </c>
      <c r="Z131" s="683">
        <v>17</v>
      </c>
      <c r="AA131" s="683">
        <v>12</v>
      </c>
      <c r="AB131" s="683">
        <v>19</v>
      </c>
      <c r="AC131" s="683">
        <v>17</v>
      </c>
      <c r="AD131" s="683">
        <v>8</v>
      </c>
      <c r="AE131" s="684">
        <f t="shared" si="36"/>
        <v>184.12328767123287</v>
      </c>
      <c r="AG131" s="692">
        <v>16</v>
      </c>
      <c r="AH131" s="692">
        <v>16</v>
      </c>
      <c r="AI131" s="692">
        <v>16</v>
      </c>
      <c r="AJ131" s="692">
        <v>16</v>
      </c>
      <c r="AK131" s="692">
        <v>16</v>
      </c>
      <c r="AL131" s="692">
        <v>15</v>
      </c>
      <c r="AM131" s="692">
        <v>15</v>
      </c>
      <c r="AN131" s="692">
        <v>15</v>
      </c>
      <c r="AO131" s="692">
        <v>16</v>
      </c>
      <c r="AP131" s="692">
        <v>16</v>
      </c>
      <c r="AQ131" s="692">
        <v>16</v>
      </c>
      <c r="AR131" s="692">
        <v>16</v>
      </c>
      <c r="AS131" s="685">
        <f t="shared" si="40"/>
        <v>189</v>
      </c>
      <c r="AU131" s="686">
        <f t="shared" si="26"/>
        <v>182</v>
      </c>
      <c r="AV131" s="665">
        <f t="shared" si="30"/>
        <v>184.12328767123287</v>
      </c>
      <c r="AW131" s="687">
        <f t="shared" si="27"/>
        <v>1.166641577600469E-2</v>
      </c>
      <c r="AX131" s="702">
        <f t="shared" si="28"/>
        <v>189</v>
      </c>
      <c r="AY131" s="687">
        <f t="shared" si="31"/>
        <v>2.6486124544304657E-2</v>
      </c>
      <c r="AZ131" s="687"/>
      <c r="BA131" s="687"/>
      <c r="BB131" s="702"/>
      <c r="BC131" s="688">
        <f t="shared" si="29"/>
        <v>0.50410958904109593</v>
      </c>
    </row>
    <row r="132" spans="1:55" x14ac:dyDescent="0.25">
      <c r="B132" s="662" t="s">
        <v>1027</v>
      </c>
      <c r="C132" s="662" t="s">
        <v>932</v>
      </c>
      <c r="D132" s="663"/>
      <c r="H132" s="662">
        <v>2</v>
      </c>
      <c r="Q132" s="681">
        <f t="shared" si="24"/>
        <v>2</v>
      </c>
      <c r="R132" s="691"/>
      <c r="W132" s="683">
        <f t="shared" si="42"/>
        <v>0</v>
      </c>
      <c r="X132" s="683">
        <f t="shared" si="42"/>
        <v>0</v>
      </c>
      <c r="Y132" s="683">
        <f t="shared" si="41"/>
        <v>0</v>
      </c>
      <c r="Z132" s="683">
        <f t="shared" si="41"/>
        <v>0</v>
      </c>
      <c r="AA132" s="683">
        <f t="shared" si="41"/>
        <v>0</v>
      </c>
      <c r="AB132" s="683">
        <f t="shared" si="41"/>
        <v>0</v>
      </c>
      <c r="AC132" s="683">
        <f t="shared" si="41"/>
        <v>0</v>
      </c>
      <c r="AD132" s="683">
        <f t="shared" si="41"/>
        <v>0</v>
      </c>
      <c r="AE132" s="684">
        <f t="shared" si="36"/>
        <v>0</v>
      </c>
      <c r="AG132" s="692">
        <v>0</v>
      </c>
      <c r="AH132" s="692">
        <v>0</v>
      </c>
      <c r="AI132" s="692">
        <v>0</v>
      </c>
      <c r="AJ132" s="692">
        <v>0</v>
      </c>
      <c r="AK132" s="692">
        <v>0</v>
      </c>
      <c r="AL132" s="692">
        <v>0</v>
      </c>
      <c r="AM132" s="692">
        <v>0</v>
      </c>
      <c r="AN132" s="692">
        <v>0</v>
      </c>
      <c r="AO132" s="692">
        <v>0</v>
      </c>
      <c r="AP132" s="692">
        <v>0</v>
      </c>
      <c r="AQ132" s="692">
        <v>0</v>
      </c>
      <c r="AR132" s="692">
        <v>0</v>
      </c>
      <c r="AS132" s="685">
        <f t="shared" si="40"/>
        <v>0</v>
      </c>
      <c r="AU132" s="686">
        <f t="shared" si="26"/>
        <v>2</v>
      </c>
      <c r="AV132" s="665">
        <f t="shared" si="30"/>
        <v>0</v>
      </c>
      <c r="AW132" s="687">
        <f t="shared" si="27"/>
        <v>-1</v>
      </c>
      <c r="AX132" s="702">
        <f t="shared" si="28"/>
        <v>0</v>
      </c>
      <c r="AY132" s="687">
        <v>0</v>
      </c>
      <c r="AZ132" s="687"/>
      <c r="BA132" s="687"/>
      <c r="BB132" s="702"/>
      <c r="BC132" s="688">
        <f t="shared" si="29"/>
        <v>0</v>
      </c>
    </row>
    <row r="133" spans="1:55" x14ac:dyDescent="0.25">
      <c r="C133" s="662" t="s">
        <v>939</v>
      </c>
      <c r="D133" s="663"/>
      <c r="E133" s="662">
        <v>6</v>
      </c>
      <c r="F133" s="662">
        <v>19</v>
      </c>
      <c r="G133" s="662">
        <v>15</v>
      </c>
      <c r="H133" s="662">
        <v>12</v>
      </c>
      <c r="I133" s="662">
        <v>7</v>
      </c>
      <c r="J133" s="662">
        <v>11</v>
      </c>
      <c r="K133" s="662">
        <v>13</v>
      </c>
      <c r="L133" s="662">
        <v>4</v>
      </c>
      <c r="M133" s="662">
        <v>11</v>
      </c>
      <c r="N133" s="662">
        <v>17</v>
      </c>
      <c r="O133" s="662">
        <v>18</v>
      </c>
      <c r="P133" s="662">
        <v>19</v>
      </c>
      <c r="Q133" s="681">
        <f t="shared" si="24"/>
        <v>152</v>
      </c>
      <c r="R133" s="691"/>
      <c r="S133" s="662">
        <v>9</v>
      </c>
      <c r="T133" s="662">
        <v>21</v>
      </c>
      <c r="U133" s="662">
        <v>10</v>
      </c>
      <c r="V133" s="662">
        <v>8</v>
      </c>
      <c r="W133" s="683">
        <v>12</v>
      </c>
      <c r="X133" s="683">
        <v>11</v>
      </c>
      <c r="Y133" s="683">
        <v>13</v>
      </c>
      <c r="Z133" s="683">
        <v>4</v>
      </c>
      <c r="AA133" s="683">
        <v>11</v>
      </c>
      <c r="AB133" s="683">
        <v>17</v>
      </c>
      <c r="AC133" s="683">
        <v>18</v>
      </c>
      <c r="AD133" s="683">
        <v>19</v>
      </c>
      <c r="AE133" s="684">
        <f t="shared" si="36"/>
        <v>153</v>
      </c>
      <c r="AG133" s="692">
        <v>14</v>
      </c>
      <c r="AH133" s="692">
        <v>13</v>
      </c>
      <c r="AI133" s="692">
        <v>13</v>
      </c>
      <c r="AJ133" s="692">
        <v>13</v>
      </c>
      <c r="AK133" s="692">
        <v>13</v>
      </c>
      <c r="AL133" s="692">
        <v>13</v>
      </c>
      <c r="AM133" s="692">
        <v>13</v>
      </c>
      <c r="AN133" s="692">
        <v>13</v>
      </c>
      <c r="AO133" s="692">
        <v>14</v>
      </c>
      <c r="AP133" s="692">
        <v>13</v>
      </c>
      <c r="AQ133" s="692">
        <v>13</v>
      </c>
      <c r="AR133" s="692">
        <v>13</v>
      </c>
      <c r="AS133" s="685">
        <f t="shared" si="40"/>
        <v>158</v>
      </c>
      <c r="AU133" s="686">
        <f t="shared" si="26"/>
        <v>152</v>
      </c>
      <c r="AV133" s="665">
        <f t="shared" si="30"/>
        <v>153</v>
      </c>
      <c r="AW133" s="687">
        <f t="shared" si="27"/>
        <v>6.5789473684210176E-3</v>
      </c>
      <c r="AX133" s="702">
        <f t="shared" si="28"/>
        <v>158</v>
      </c>
      <c r="AY133" s="687">
        <f t="shared" si="31"/>
        <v>3.2679738562091609E-2</v>
      </c>
      <c r="AZ133" s="687"/>
      <c r="BA133" s="687"/>
      <c r="BB133" s="702"/>
      <c r="BC133" s="688">
        <f t="shared" si="29"/>
        <v>0.40547945205479452</v>
      </c>
    </row>
    <row r="134" spans="1:55" x14ac:dyDescent="0.25">
      <c r="A134" s="693" t="s">
        <v>1028</v>
      </c>
      <c r="B134" s="693"/>
      <c r="C134" s="693"/>
      <c r="D134" s="694"/>
      <c r="E134" s="693">
        <v>271</v>
      </c>
      <c r="F134" s="693">
        <v>301</v>
      </c>
      <c r="G134" s="693">
        <v>270</v>
      </c>
      <c r="H134" s="693">
        <v>229</v>
      </c>
      <c r="I134" s="693">
        <v>244</v>
      </c>
      <c r="J134" s="693">
        <v>203</v>
      </c>
      <c r="K134" s="693">
        <v>259</v>
      </c>
      <c r="L134" s="693">
        <v>203</v>
      </c>
      <c r="M134" s="693">
        <v>203</v>
      </c>
      <c r="N134" s="693">
        <v>227</v>
      </c>
      <c r="O134" s="693">
        <v>255</v>
      </c>
      <c r="P134" s="693">
        <v>235</v>
      </c>
      <c r="Q134" s="695">
        <f t="shared" si="24"/>
        <v>2900</v>
      </c>
      <c r="R134" s="695"/>
      <c r="S134" s="693">
        <v>224</v>
      </c>
      <c r="T134" s="693">
        <v>236</v>
      </c>
      <c r="U134" s="693">
        <v>229</v>
      </c>
      <c r="V134" s="693">
        <v>235</v>
      </c>
      <c r="W134" s="696">
        <f>SUM(W89:W133)</f>
        <v>244.69863013698628</v>
      </c>
      <c r="X134" s="696">
        <f t="shared" ref="X134:AD134" si="43">SUM(X89:X133)</f>
        <v>219.8027397260274</v>
      </c>
      <c r="Y134" s="696">
        <f t="shared" si="43"/>
        <v>236.09315068493152</v>
      </c>
      <c r="Z134" s="696">
        <f t="shared" si="43"/>
        <v>216.06849315068493</v>
      </c>
      <c r="AA134" s="696">
        <f t="shared" si="43"/>
        <v>214.33698630136988</v>
      </c>
      <c r="AB134" s="696">
        <f t="shared" si="43"/>
        <v>229.53424657534248</v>
      </c>
      <c r="AC134" s="696">
        <f t="shared" si="43"/>
        <v>242</v>
      </c>
      <c r="AD134" s="696">
        <f t="shared" si="43"/>
        <v>226.54794520547946</v>
      </c>
      <c r="AE134" s="697">
        <f t="shared" si="36"/>
        <v>2753.0821917808221</v>
      </c>
      <c r="AF134" s="694"/>
      <c r="AG134" s="694">
        <f t="shared" ref="AG134:AR134" si="44">SUM(AG89:AG133)</f>
        <v>251</v>
      </c>
      <c r="AH134" s="694">
        <f t="shared" si="44"/>
        <v>246</v>
      </c>
      <c r="AI134" s="694">
        <f t="shared" si="44"/>
        <v>248</v>
      </c>
      <c r="AJ134" s="694">
        <f t="shared" si="44"/>
        <v>245</v>
      </c>
      <c r="AK134" s="694">
        <f t="shared" si="44"/>
        <v>248</v>
      </c>
      <c r="AL134" s="694">
        <f t="shared" si="44"/>
        <v>237</v>
      </c>
      <c r="AM134" s="694">
        <f t="shared" si="44"/>
        <v>247</v>
      </c>
      <c r="AN134" s="694">
        <f t="shared" si="44"/>
        <v>246</v>
      </c>
      <c r="AO134" s="694">
        <f t="shared" si="44"/>
        <v>251</v>
      </c>
      <c r="AP134" s="694">
        <f t="shared" si="44"/>
        <v>247</v>
      </c>
      <c r="AQ134" s="694">
        <f t="shared" si="44"/>
        <v>248</v>
      </c>
      <c r="AR134" s="694">
        <f t="shared" si="44"/>
        <v>246</v>
      </c>
      <c r="AS134" s="694">
        <f>SUM(AS89:AS133)</f>
        <v>2960</v>
      </c>
      <c r="AT134" s="694"/>
      <c r="AU134" s="697">
        <f t="shared" si="26"/>
        <v>2900</v>
      </c>
      <c r="AV134" s="697">
        <f t="shared" si="30"/>
        <v>2753.0821917808221</v>
      </c>
      <c r="AW134" s="698">
        <f t="shared" si="27"/>
        <v>-5.066131317902689E-2</v>
      </c>
      <c r="AX134" s="694">
        <f t="shared" si="28"/>
        <v>2960</v>
      </c>
      <c r="AY134" s="698">
        <f t="shared" si="31"/>
        <v>7.5158601816146309E-2</v>
      </c>
      <c r="AZ134" s="698"/>
      <c r="BA134" s="698"/>
      <c r="BB134" s="702"/>
      <c r="BC134" s="688">
        <f t="shared" si="29"/>
        <v>7.5424657534246577</v>
      </c>
    </row>
    <row r="135" spans="1:55" x14ac:dyDescent="0.25">
      <c r="A135" s="664" t="s">
        <v>342</v>
      </c>
      <c r="B135" s="662" t="s">
        <v>1029</v>
      </c>
      <c r="C135" s="662" t="s">
        <v>939</v>
      </c>
      <c r="D135" s="663"/>
      <c r="F135" s="662">
        <v>1</v>
      </c>
      <c r="H135" s="662">
        <v>1</v>
      </c>
      <c r="P135" s="691"/>
      <c r="Q135" s="681">
        <f t="shared" si="24"/>
        <v>2</v>
      </c>
      <c r="R135" s="691"/>
      <c r="W135" s="683">
        <f t="shared" si="42"/>
        <v>0</v>
      </c>
      <c r="X135" s="683">
        <f t="shared" si="42"/>
        <v>0</v>
      </c>
      <c r="Y135" s="683">
        <f t="shared" si="41"/>
        <v>0</v>
      </c>
      <c r="Z135" s="683">
        <f t="shared" si="41"/>
        <v>0</v>
      </c>
      <c r="AA135" s="683">
        <f t="shared" si="41"/>
        <v>0</v>
      </c>
      <c r="AB135" s="683">
        <f t="shared" si="41"/>
        <v>0</v>
      </c>
      <c r="AC135" s="683">
        <f t="shared" si="41"/>
        <v>0</v>
      </c>
      <c r="AD135" s="683">
        <f t="shared" si="41"/>
        <v>0</v>
      </c>
      <c r="AE135" s="684">
        <f t="shared" si="36"/>
        <v>0</v>
      </c>
      <c r="AG135" s="683">
        <f t="shared" ref="AG135:AR137" si="45">$BC135*AG$1</f>
        <v>0</v>
      </c>
      <c r="AH135" s="683">
        <f t="shared" si="45"/>
        <v>0</v>
      </c>
      <c r="AI135" s="683">
        <f t="shared" si="45"/>
        <v>0</v>
      </c>
      <c r="AJ135" s="683">
        <f t="shared" si="45"/>
        <v>0</v>
      </c>
      <c r="AK135" s="683">
        <f t="shared" si="45"/>
        <v>0</v>
      </c>
      <c r="AL135" s="683">
        <f t="shared" si="45"/>
        <v>0</v>
      </c>
      <c r="AM135" s="683">
        <f t="shared" si="45"/>
        <v>0</v>
      </c>
      <c r="AN135" s="683">
        <f t="shared" si="45"/>
        <v>0</v>
      </c>
      <c r="AO135" s="683">
        <f t="shared" si="45"/>
        <v>0</v>
      </c>
      <c r="AP135" s="683">
        <f t="shared" si="45"/>
        <v>0</v>
      </c>
      <c r="AQ135" s="683">
        <f t="shared" si="45"/>
        <v>0</v>
      </c>
      <c r="AR135" s="683">
        <f t="shared" si="45"/>
        <v>0</v>
      </c>
      <c r="AS135" s="685">
        <f t="shared" ref="AS135:AS155" si="46">SUM(AG135:AR135)</f>
        <v>0</v>
      </c>
      <c r="AU135" s="686">
        <f t="shared" si="26"/>
        <v>2</v>
      </c>
      <c r="AV135" s="665">
        <f t="shared" si="30"/>
        <v>0</v>
      </c>
      <c r="AW135" s="687">
        <f t="shared" si="27"/>
        <v>-1</v>
      </c>
      <c r="AX135" s="702">
        <f t="shared" si="28"/>
        <v>0</v>
      </c>
      <c r="AY135" s="687">
        <v>0</v>
      </c>
      <c r="AZ135" s="687"/>
      <c r="BA135" s="687"/>
      <c r="BB135" s="702"/>
      <c r="BC135" s="688">
        <f t="shared" si="29"/>
        <v>0</v>
      </c>
    </row>
    <row r="136" spans="1:55" x14ac:dyDescent="0.25">
      <c r="B136" s="662" t="s">
        <v>1030</v>
      </c>
      <c r="C136" s="662" t="s">
        <v>939</v>
      </c>
      <c r="D136" s="663"/>
      <c r="E136" s="664"/>
      <c r="F136" s="664">
        <v>1</v>
      </c>
      <c r="G136" s="664"/>
      <c r="H136" s="664">
        <v>1</v>
      </c>
      <c r="I136" s="664"/>
      <c r="J136" s="664"/>
      <c r="K136" s="664"/>
      <c r="L136" s="664"/>
      <c r="M136" s="664"/>
      <c r="N136" s="664"/>
      <c r="O136" s="664"/>
      <c r="P136" s="681"/>
      <c r="Q136" s="681">
        <f t="shared" ref="Q136:Q199" si="47">SUM(E136:P136)</f>
        <v>2</v>
      </c>
      <c r="R136" s="681"/>
      <c r="W136" s="683">
        <f t="shared" si="42"/>
        <v>0</v>
      </c>
      <c r="X136" s="683">
        <f t="shared" si="42"/>
        <v>0</v>
      </c>
      <c r="Y136" s="683">
        <f t="shared" si="41"/>
        <v>0</v>
      </c>
      <c r="Z136" s="683">
        <f t="shared" si="41"/>
        <v>0</v>
      </c>
      <c r="AA136" s="683">
        <f t="shared" si="41"/>
        <v>0</v>
      </c>
      <c r="AB136" s="683">
        <f t="shared" si="41"/>
        <v>0</v>
      </c>
      <c r="AC136" s="683">
        <f t="shared" si="41"/>
        <v>0</v>
      </c>
      <c r="AD136" s="683">
        <f t="shared" si="41"/>
        <v>0</v>
      </c>
      <c r="AE136" s="684">
        <f t="shared" si="36"/>
        <v>0</v>
      </c>
      <c r="AG136" s="683">
        <f t="shared" si="45"/>
        <v>0</v>
      </c>
      <c r="AH136" s="683">
        <f t="shared" si="45"/>
        <v>0</v>
      </c>
      <c r="AI136" s="683">
        <f t="shared" si="45"/>
        <v>0</v>
      </c>
      <c r="AJ136" s="683">
        <f t="shared" si="45"/>
        <v>0</v>
      </c>
      <c r="AK136" s="683">
        <f t="shared" si="45"/>
        <v>0</v>
      </c>
      <c r="AL136" s="683">
        <f t="shared" si="45"/>
        <v>0</v>
      </c>
      <c r="AM136" s="683">
        <f t="shared" si="45"/>
        <v>0</v>
      </c>
      <c r="AN136" s="683">
        <f t="shared" si="45"/>
        <v>0</v>
      </c>
      <c r="AO136" s="683">
        <f t="shared" si="45"/>
        <v>0</v>
      </c>
      <c r="AP136" s="683">
        <f t="shared" si="45"/>
        <v>0</v>
      </c>
      <c r="AQ136" s="683">
        <f t="shared" si="45"/>
        <v>0</v>
      </c>
      <c r="AR136" s="683">
        <f t="shared" si="45"/>
        <v>0</v>
      </c>
      <c r="AS136" s="685">
        <f t="shared" si="46"/>
        <v>0</v>
      </c>
      <c r="AU136" s="686">
        <f t="shared" ref="AU136:AU199" si="48">Q136</f>
        <v>2</v>
      </c>
      <c r="AV136" s="665">
        <f t="shared" si="30"/>
        <v>0</v>
      </c>
      <c r="AW136" s="687">
        <f t="shared" ref="AW136:AW199" si="49">(AV136/AU136)-1</f>
        <v>-1</v>
      </c>
      <c r="AX136" s="702">
        <f t="shared" ref="AX136:AX199" si="50">AS136</f>
        <v>0</v>
      </c>
      <c r="AY136" s="687">
        <v>0</v>
      </c>
      <c r="AZ136" s="687"/>
      <c r="BA136" s="687"/>
      <c r="BB136" s="702"/>
      <c r="BC136" s="688">
        <f t="shared" ref="BC136:BC199" si="51">(I136+J136+K136+L136+M136+N136+O136+P136+S136+T136+U136+V136)/365</f>
        <v>0</v>
      </c>
    </row>
    <row r="137" spans="1:55" x14ac:dyDescent="0.25">
      <c r="B137" s="662" t="s">
        <v>1031</v>
      </c>
      <c r="C137" s="662" t="s">
        <v>939</v>
      </c>
      <c r="D137" s="663"/>
      <c r="F137" s="662">
        <v>1</v>
      </c>
      <c r="O137" s="662">
        <v>1</v>
      </c>
      <c r="Q137" s="681">
        <f t="shared" si="47"/>
        <v>2</v>
      </c>
      <c r="R137" s="691"/>
      <c r="U137" s="662">
        <v>1</v>
      </c>
      <c r="W137" s="683">
        <v>0</v>
      </c>
      <c r="X137" s="683">
        <v>0</v>
      </c>
      <c r="Y137" s="683">
        <v>0</v>
      </c>
      <c r="Z137" s="683">
        <v>0</v>
      </c>
      <c r="AA137" s="683">
        <v>0</v>
      </c>
      <c r="AB137" s="683">
        <v>0</v>
      </c>
      <c r="AC137" s="683">
        <v>0</v>
      </c>
      <c r="AD137" s="683">
        <v>0</v>
      </c>
      <c r="AE137" s="684">
        <f t="shared" si="36"/>
        <v>1</v>
      </c>
      <c r="AG137" s="683">
        <f t="shared" si="45"/>
        <v>0</v>
      </c>
      <c r="AH137" s="683">
        <f t="shared" si="45"/>
        <v>0</v>
      </c>
      <c r="AI137" s="683">
        <f t="shared" si="45"/>
        <v>0</v>
      </c>
      <c r="AJ137" s="683">
        <f t="shared" si="45"/>
        <v>0</v>
      </c>
      <c r="AK137" s="683">
        <f t="shared" si="45"/>
        <v>0</v>
      </c>
      <c r="AL137" s="683">
        <f t="shared" si="45"/>
        <v>0</v>
      </c>
      <c r="AM137" s="683">
        <f t="shared" si="45"/>
        <v>0</v>
      </c>
      <c r="AN137" s="683">
        <f t="shared" si="45"/>
        <v>0</v>
      </c>
      <c r="AO137" s="683">
        <f t="shared" si="45"/>
        <v>0</v>
      </c>
      <c r="AP137" s="683">
        <f t="shared" si="45"/>
        <v>0</v>
      </c>
      <c r="AQ137" s="683">
        <f t="shared" si="45"/>
        <v>0</v>
      </c>
      <c r="AR137" s="683">
        <f t="shared" si="45"/>
        <v>0</v>
      </c>
      <c r="AS137" s="685">
        <f t="shared" si="46"/>
        <v>0</v>
      </c>
      <c r="AU137" s="686">
        <f t="shared" si="48"/>
        <v>2</v>
      </c>
      <c r="AV137" s="665">
        <f t="shared" si="30"/>
        <v>1</v>
      </c>
      <c r="AW137" s="687">
        <f t="shared" si="49"/>
        <v>-0.5</v>
      </c>
      <c r="AX137" s="702">
        <f t="shared" si="50"/>
        <v>0</v>
      </c>
      <c r="AY137" s="687">
        <f t="shared" ref="AY137:AY200" si="52">(AX137/AV137)-1</f>
        <v>-1</v>
      </c>
      <c r="AZ137" s="687"/>
      <c r="BA137" s="687"/>
      <c r="BB137" s="702"/>
      <c r="BC137" s="688">
        <f t="shared" si="51"/>
        <v>5.4794520547945206E-3</v>
      </c>
    </row>
    <row r="138" spans="1:55" x14ac:dyDescent="0.25">
      <c r="B138" s="662" t="s">
        <v>1032</v>
      </c>
      <c r="C138" s="662" t="s">
        <v>932</v>
      </c>
      <c r="D138" s="663"/>
      <c r="E138" s="662">
        <v>3</v>
      </c>
      <c r="F138" s="662">
        <v>2</v>
      </c>
      <c r="G138" s="662">
        <v>3</v>
      </c>
      <c r="H138" s="662">
        <v>1</v>
      </c>
      <c r="I138" s="662">
        <v>2</v>
      </c>
      <c r="J138" s="662">
        <v>3</v>
      </c>
      <c r="L138" s="662">
        <v>3</v>
      </c>
      <c r="M138" s="662">
        <v>1</v>
      </c>
      <c r="N138" s="662">
        <v>4</v>
      </c>
      <c r="O138" s="662">
        <v>2</v>
      </c>
      <c r="P138" s="662">
        <v>1</v>
      </c>
      <c r="Q138" s="681">
        <f t="shared" si="47"/>
        <v>25</v>
      </c>
      <c r="R138" s="691"/>
      <c r="S138" s="662">
        <v>3</v>
      </c>
      <c r="T138" s="662">
        <v>2</v>
      </c>
      <c r="U138" s="662">
        <v>1</v>
      </c>
      <c r="V138" s="662">
        <v>2</v>
      </c>
      <c r="W138" s="683">
        <v>2</v>
      </c>
      <c r="X138" s="683">
        <v>2</v>
      </c>
      <c r="Y138" s="683">
        <v>2</v>
      </c>
      <c r="Z138" s="683">
        <v>2</v>
      </c>
      <c r="AA138" s="683">
        <v>2</v>
      </c>
      <c r="AB138" s="683">
        <v>2</v>
      </c>
      <c r="AC138" s="683">
        <v>2</v>
      </c>
      <c r="AD138" s="683">
        <v>2</v>
      </c>
      <c r="AE138" s="684">
        <f t="shared" si="36"/>
        <v>24</v>
      </c>
      <c r="AG138" s="692">
        <v>2</v>
      </c>
      <c r="AH138" s="692">
        <v>2</v>
      </c>
      <c r="AI138" s="692">
        <v>2</v>
      </c>
      <c r="AJ138" s="692">
        <v>2</v>
      </c>
      <c r="AK138" s="692">
        <v>2</v>
      </c>
      <c r="AL138" s="692">
        <v>2</v>
      </c>
      <c r="AM138" s="692">
        <v>2</v>
      </c>
      <c r="AN138" s="692">
        <v>2</v>
      </c>
      <c r="AO138" s="692">
        <v>2</v>
      </c>
      <c r="AP138" s="692">
        <v>2</v>
      </c>
      <c r="AQ138" s="692">
        <v>2</v>
      </c>
      <c r="AR138" s="692">
        <v>2</v>
      </c>
      <c r="AS138" s="685">
        <f t="shared" si="46"/>
        <v>24</v>
      </c>
      <c r="AU138" s="686">
        <f t="shared" si="48"/>
        <v>25</v>
      </c>
      <c r="AV138" s="665">
        <f t="shared" ref="AV138:AV201" si="53">AE138</f>
        <v>24</v>
      </c>
      <c r="AW138" s="687">
        <f t="shared" si="49"/>
        <v>-4.0000000000000036E-2</v>
      </c>
      <c r="AX138" s="702">
        <f t="shared" si="50"/>
        <v>24</v>
      </c>
      <c r="AY138" s="687">
        <f t="shared" si="52"/>
        <v>0</v>
      </c>
      <c r="AZ138" s="687"/>
      <c r="BA138" s="687"/>
      <c r="BB138" s="702"/>
      <c r="BC138" s="688">
        <f t="shared" si="51"/>
        <v>6.575342465753424E-2</v>
      </c>
    </row>
    <row r="139" spans="1:55" x14ac:dyDescent="0.25">
      <c r="B139" s="662" t="s">
        <v>1033</v>
      </c>
      <c r="C139" s="662" t="s">
        <v>939</v>
      </c>
      <c r="D139" s="663"/>
      <c r="K139" s="662">
        <v>1</v>
      </c>
      <c r="Q139" s="681">
        <f t="shared" si="47"/>
        <v>1</v>
      </c>
      <c r="R139" s="691"/>
      <c r="T139" s="662">
        <v>1</v>
      </c>
      <c r="W139" s="683">
        <v>0</v>
      </c>
      <c r="X139" s="683">
        <v>0</v>
      </c>
      <c r="Y139" s="683">
        <v>0</v>
      </c>
      <c r="Z139" s="683">
        <v>0</v>
      </c>
      <c r="AA139" s="683">
        <v>0</v>
      </c>
      <c r="AB139" s="683">
        <v>0</v>
      </c>
      <c r="AC139" s="683">
        <v>0</v>
      </c>
      <c r="AD139" s="683">
        <v>0</v>
      </c>
      <c r="AE139" s="684">
        <f t="shared" si="36"/>
        <v>1</v>
      </c>
      <c r="AG139" s="683">
        <f t="shared" ref="AG139:AR140" si="54">$BC139*AG$1</f>
        <v>0</v>
      </c>
      <c r="AH139" s="683">
        <f t="shared" si="54"/>
        <v>0</v>
      </c>
      <c r="AI139" s="683">
        <f t="shared" si="54"/>
        <v>0</v>
      </c>
      <c r="AJ139" s="683">
        <f t="shared" si="54"/>
        <v>0</v>
      </c>
      <c r="AK139" s="683">
        <f t="shared" si="54"/>
        <v>0</v>
      </c>
      <c r="AL139" s="683">
        <f t="shared" si="54"/>
        <v>0</v>
      </c>
      <c r="AM139" s="683">
        <f t="shared" si="54"/>
        <v>0</v>
      </c>
      <c r="AN139" s="683">
        <f t="shared" si="54"/>
        <v>0</v>
      </c>
      <c r="AO139" s="683">
        <f t="shared" si="54"/>
        <v>0</v>
      </c>
      <c r="AP139" s="683">
        <f t="shared" si="54"/>
        <v>0</v>
      </c>
      <c r="AQ139" s="683">
        <f t="shared" si="54"/>
        <v>0</v>
      </c>
      <c r="AR139" s="683">
        <f t="shared" si="54"/>
        <v>0</v>
      </c>
      <c r="AS139" s="685">
        <f t="shared" si="46"/>
        <v>0</v>
      </c>
      <c r="AU139" s="686">
        <f t="shared" si="48"/>
        <v>1</v>
      </c>
      <c r="AV139" s="665">
        <f t="shared" si="53"/>
        <v>1</v>
      </c>
      <c r="AW139" s="687">
        <f t="shared" si="49"/>
        <v>0</v>
      </c>
      <c r="AX139" s="702">
        <f t="shared" si="50"/>
        <v>0</v>
      </c>
      <c r="AY139" s="687">
        <f t="shared" si="52"/>
        <v>-1</v>
      </c>
      <c r="AZ139" s="687"/>
      <c r="BA139" s="687"/>
      <c r="BB139" s="702"/>
      <c r="BC139" s="688">
        <f t="shared" si="51"/>
        <v>5.4794520547945206E-3</v>
      </c>
    </row>
    <row r="140" spans="1:55" x14ac:dyDescent="0.25">
      <c r="B140" s="662" t="s">
        <v>1034</v>
      </c>
      <c r="C140" s="662" t="s">
        <v>939</v>
      </c>
      <c r="D140" s="663"/>
      <c r="Q140" s="681">
        <f t="shared" si="47"/>
        <v>0</v>
      </c>
      <c r="R140" s="691"/>
      <c r="V140" s="662">
        <v>1</v>
      </c>
      <c r="W140" s="683">
        <v>0</v>
      </c>
      <c r="X140" s="683">
        <v>0</v>
      </c>
      <c r="Y140" s="683">
        <v>0</v>
      </c>
      <c r="Z140" s="683">
        <v>0</v>
      </c>
      <c r="AA140" s="683">
        <v>0</v>
      </c>
      <c r="AB140" s="683">
        <v>0</v>
      </c>
      <c r="AC140" s="683">
        <v>0</v>
      </c>
      <c r="AD140" s="683">
        <v>0</v>
      </c>
      <c r="AE140" s="684">
        <f t="shared" si="36"/>
        <v>1</v>
      </c>
      <c r="AG140" s="683">
        <f t="shared" si="54"/>
        <v>0</v>
      </c>
      <c r="AH140" s="683">
        <f t="shared" si="54"/>
        <v>0</v>
      </c>
      <c r="AI140" s="683">
        <f t="shared" si="54"/>
        <v>0</v>
      </c>
      <c r="AJ140" s="683">
        <f t="shared" si="54"/>
        <v>0</v>
      </c>
      <c r="AK140" s="683">
        <f t="shared" si="54"/>
        <v>0</v>
      </c>
      <c r="AL140" s="683">
        <f t="shared" si="54"/>
        <v>0</v>
      </c>
      <c r="AM140" s="683">
        <f t="shared" si="54"/>
        <v>0</v>
      </c>
      <c r="AN140" s="683">
        <f t="shared" si="54"/>
        <v>0</v>
      </c>
      <c r="AO140" s="683">
        <f t="shared" si="54"/>
        <v>0</v>
      </c>
      <c r="AP140" s="683">
        <f t="shared" si="54"/>
        <v>0</v>
      </c>
      <c r="AQ140" s="683">
        <f t="shared" si="54"/>
        <v>0</v>
      </c>
      <c r="AR140" s="683">
        <f t="shared" si="54"/>
        <v>0</v>
      </c>
      <c r="AS140" s="685">
        <f t="shared" si="46"/>
        <v>0</v>
      </c>
      <c r="AU140" s="686">
        <f t="shared" si="48"/>
        <v>0</v>
      </c>
      <c r="AV140" s="665">
        <f t="shared" si="53"/>
        <v>1</v>
      </c>
      <c r="AW140" s="687">
        <v>1</v>
      </c>
      <c r="AX140" s="702">
        <f t="shared" si="50"/>
        <v>0</v>
      </c>
      <c r="AY140" s="687">
        <f t="shared" si="52"/>
        <v>-1</v>
      </c>
      <c r="AZ140" s="687"/>
      <c r="BA140" s="687"/>
      <c r="BB140" s="702"/>
      <c r="BC140" s="688">
        <f t="shared" si="51"/>
        <v>2.7397260273972603E-3</v>
      </c>
    </row>
    <row r="141" spans="1:55" x14ac:dyDescent="0.25">
      <c r="B141" s="662" t="s">
        <v>1035</v>
      </c>
      <c r="C141" s="662" t="s">
        <v>932</v>
      </c>
      <c r="D141" s="663"/>
      <c r="E141" s="662">
        <v>11</v>
      </c>
      <c r="F141" s="662">
        <v>16</v>
      </c>
      <c r="G141" s="662">
        <v>19</v>
      </c>
      <c r="H141" s="662">
        <v>14</v>
      </c>
      <c r="I141" s="662">
        <v>5</v>
      </c>
      <c r="J141" s="662">
        <v>7</v>
      </c>
      <c r="K141" s="662">
        <v>8</v>
      </c>
      <c r="L141" s="662">
        <v>7</v>
      </c>
      <c r="M141" s="662">
        <v>7</v>
      </c>
      <c r="N141" s="662">
        <v>10</v>
      </c>
      <c r="O141" s="662">
        <v>15</v>
      </c>
      <c r="P141" s="662">
        <v>2</v>
      </c>
      <c r="Q141" s="681">
        <f t="shared" si="47"/>
        <v>121</v>
      </c>
      <c r="R141" s="691"/>
      <c r="S141" s="662">
        <v>7</v>
      </c>
      <c r="T141" s="662">
        <v>10</v>
      </c>
      <c r="U141" s="662">
        <v>8</v>
      </c>
      <c r="V141" s="662">
        <v>9</v>
      </c>
      <c r="W141" s="683">
        <v>8</v>
      </c>
      <c r="X141" s="683">
        <v>8</v>
      </c>
      <c r="Y141" s="683">
        <v>8</v>
      </c>
      <c r="Z141" s="683">
        <v>7</v>
      </c>
      <c r="AA141" s="683">
        <v>8</v>
      </c>
      <c r="AB141" s="683">
        <v>8</v>
      </c>
      <c r="AC141" s="683">
        <v>8</v>
      </c>
      <c r="AD141" s="683">
        <v>8</v>
      </c>
      <c r="AE141" s="684">
        <f t="shared" si="36"/>
        <v>97</v>
      </c>
      <c r="AG141" s="692">
        <v>8</v>
      </c>
      <c r="AH141" s="692">
        <v>10</v>
      </c>
      <c r="AI141" s="692">
        <v>8</v>
      </c>
      <c r="AJ141" s="692">
        <v>9</v>
      </c>
      <c r="AK141" s="692">
        <v>8</v>
      </c>
      <c r="AL141" s="692">
        <v>8</v>
      </c>
      <c r="AM141" s="692">
        <v>8</v>
      </c>
      <c r="AN141" s="692">
        <v>8</v>
      </c>
      <c r="AO141" s="692">
        <v>8</v>
      </c>
      <c r="AP141" s="692">
        <v>8</v>
      </c>
      <c r="AQ141" s="692">
        <v>8</v>
      </c>
      <c r="AR141" s="692">
        <v>8</v>
      </c>
      <c r="AS141" s="685">
        <f t="shared" si="46"/>
        <v>99</v>
      </c>
      <c r="AU141" s="686">
        <f t="shared" si="48"/>
        <v>121</v>
      </c>
      <c r="AV141" s="665">
        <f t="shared" si="53"/>
        <v>97</v>
      </c>
      <c r="AW141" s="687">
        <f t="shared" si="49"/>
        <v>-0.19834710743801653</v>
      </c>
      <c r="AX141" s="702">
        <f t="shared" si="50"/>
        <v>99</v>
      </c>
      <c r="AY141" s="687">
        <f t="shared" si="52"/>
        <v>2.0618556701030855E-2</v>
      </c>
      <c r="AZ141" s="687"/>
      <c r="BA141" s="687"/>
      <c r="BB141" s="702"/>
      <c r="BC141" s="688">
        <f t="shared" si="51"/>
        <v>0.26027397260273971</v>
      </c>
    </row>
    <row r="142" spans="1:55" x14ac:dyDescent="0.25">
      <c r="B142" s="662" t="s">
        <v>1036</v>
      </c>
      <c r="C142" s="662" t="s">
        <v>932</v>
      </c>
      <c r="D142" s="663"/>
      <c r="E142" s="662">
        <v>11</v>
      </c>
      <c r="F142" s="662">
        <v>6</v>
      </c>
      <c r="G142" s="662">
        <v>1</v>
      </c>
      <c r="H142" s="662">
        <v>6</v>
      </c>
      <c r="I142" s="662">
        <v>10</v>
      </c>
      <c r="J142" s="662">
        <v>4</v>
      </c>
      <c r="K142" s="662">
        <v>5</v>
      </c>
      <c r="L142" s="662">
        <v>5</v>
      </c>
      <c r="M142" s="662">
        <v>6</v>
      </c>
      <c r="N142" s="662">
        <v>5</v>
      </c>
      <c r="O142" s="662">
        <v>10</v>
      </c>
      <c r="P142" s="662">
        <v>6</v>
      </c>
      <c r="Q142" s="681">
        <f t="shared" si="47"/>
        <v>75</v>
      </c>
      <c r="R142" s="691"/>
      <c r="S142" s="662">
        <v>3</v>
      </c>
      <c r="T142" s="662">
        <v>4</v>
      </c>
      <c r="U142" s="662">
        <v>6</v>
      </c>
      <c r="V142" s="662">
        <v>4</v>
      </c>
      <c r="W142" s="683">
        <f t="shared" si="42"/>
        <v>5.5890410958904111</v>
      </c>
      <c r="X142" s="683">
        <v>4</v>
      </c>
      <c r="Y142" s="683">
        <v>5</v>
      </c>
      <c r="Z142" s="683">
        <v>5</v>
      </c>
      <c r="AA142" s="683">
        <v>6</v>
      </c>
      <c r="AB142" s="683">
        <v>5</v>
      </c>
      <c r="AC142" s="683">
        <v>10</v>
      </c>
      <c r="AD142" s="683">
        <f t="shared" ref="AD142" si="55">$BC142*AD$1</f>
        <v>5.5890410958904111</v>
      </c>
      <c r="AE142" s="684">
        <f t="shared" si="36"/>
        <v>63.178082191780817</v>
      </c>
      <c r="AG142" s="692">
        <v>5</v>
      </c>
      <c r="AH142" s="692">
        <v>5</v>
      </c>
      <c r="AI142" s="692">
        <v>5</v>
      </c>
      <c r="AJ142" s="692">
        <v>5</v>
      </c>
      <c r="AK142" s="692">
        <v>6</v>
      </c>
      <c r="AL142" s="692">
        <v>6</v>
      </c>
      <c r="AM142" s="692">
        <v>6</v>
      </c>
      <c r="AN142" s="692">
        <v>5</v>
      </c>
      <c r="AO142" s="692">
        <v>5</v>
      </c>
      <c r="AP142" s="692">
        <v>5</v>
      </c>
      <c r="AQ142" s="692">
        <v>5</v>
      </c>
      <c r="AR142" s="692">
        <v>5</v>
      </c>
      <c r="AS142" s="685">
        <f t="shared" si="46"/>
        <v>63</v>
      </c>
      <c r="AU142" s="686">
        <f t="shared" si="48"/>
        <v>75</v>
      </c>
      <c r="AV142" s="665">
        <f t="shared" si="53"/>
        <v>63.178082191780817</v>
      </c>
      <c r="AW142" s="687">
        <f t="shared" si="49"/>
        <v>-0.15762557077625583</v>
      </c>
      <c r="AX142" s="702">
        <f t="shared" si="50"/>
        <v>63</v>
      </c>
      <c r="AY142" s="687">
        <f t="shared" si="52"/>
        <v>-2.8187337380745081E-3</v>
      </c>
      <c r="AZ142" s="687"/>
      <c r="BA142" s="687"/>
      <c r="BB142" s="702"/>
      <c r="BC142" s="688">
        <f t="shared" si="51"/>
        <v>0.18630136986301371</v>
      </c>
    </row>
    <row r="143" spans="1:55" x14ac:dyDescent="0.25">
      <c r="C143" s="662" t="s">
        <v>939</v>
      </c>
      <c r="D143" s="663"/>
      <c r="I143" s="662">
        <v>1</v>
      </c>
      <c r="P143" s="691"/>
      <c r="Q143" s="681">
        <f t="shared" si="47"/>
        <v>1</v>
      </c>
      <c r="R143" s="691"/>
      <c r="W143" s="683">
        <v>0</v>
      </c>
      <c r="X143" s="683">
        <v>0</v>
      </c>
      <c r="Y143" s="683">
        <v>0</v>
      </c>
      <c r="Z143" s="683">
        <v>0</v>
      </c>
      <c r="AA143" s="683">
        <v>0</v>
      </c>
      <c r="AB143" s="683">
        <v>0</v>
      </c>
      <c r="AC143" s="683">
        <v>0</v>
      </c>
      <c r="AD143" s="683">
        <v>0</v>
      </c>
      <c r="AE143" s="684">
        <f t="shared" ref="AE143:AE206" si="56">SUM(S143:AD143)</f>
        <v>0</v>
      </c>
      <c r="AG143" s="683">
        <f t="shared" ref="AG143:AR147" si="57">$BC143*AG$1</f>
        <v>0</v>
      </c>
      <c r="AH143" s="683">
        <f t="shared" si="57"/>
        <v>0</v>
      </c>
      <c r="AI143" s="683">
        <f t="shared" si="57"/>
        <v>0</v>
      </c>
      <c r="AJ143" s="683">
        <f t="shared" si="57"/>
        <v>0</v>
      </c>
      <c r="AK143" s="683">
        <f t="shared" si="57"/>
        <v>0</v>
      </c>
      <c r="AL143" s="683">
        <f t="shared" si="57"/>
        <v>0</v>
      </c>
      <c r="AM143" s="683">
        <f t="shared" si="57"/>
        <v>0</v>
      </c>
      <c r="AN143" s="683">
        <f t="shared" si="57"/>
        <v>0</v>
      </c>
      <c r="AO143" s="683">
        <f t="shared" si="57"/>
        <v>0</v>
      </c>
      <c r="AP143" s="683">
        <f t="shared" si="57"/>
        <v>0</v>
      </c>
      <c r="AQ143" s="683">
        <f t="shared" si="57"/>
        <v>0</v>
      </c>
      <c r="AR143" s="683">
        <f t="shared" si="57"/>
        <v>0</v>
      </c>
      <c r="AS143" s="685">
        <f t="shared" si="46"/>
        <v>0</v>
      </c>
      <c r="AU143" s="686">
        <f t="shared" si="48"/>
        <v>1</v>
      </c>
      <c r="AV143" s="665">
        <f t="shared" si="53"/>
        <v>0</v>
      </c>
      <c r="AW143" s="687">
        <f t="shared" si="49"/>
        <v>-1</v>
      </c>
      <c r="AX143" s="702">
        <f t="shared" si="50"/>
        <v>0</v>
      </c>
      <c r="AY143" s="687">
        <v>0</v>
      </c>
      <c r="AZ143" s="687"/>
      <c r="BA143" s="687"/>
      <c r="BB143" s="702"/>
      <c r="BC143" s="688">
        <f t="shared" si="51"/>
        <v>2.7397260273972603E-3</v>
      </c>
    </row>
    <row r="144" spans="1:55" x14ac:dyDescent="0.25">
      <c r="B144" s="662" t="s">
        <v>1037</v>
      </c>
      <c r="C144" s="662" t="s">
        <v>939</v>
      </c>
      <c r="D144" s="663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664">
        <v>2</v>
      </c>
      <c r="P144" s="681"/>
      <c r="Q144" s="681">
        <f t="shared" si="47"/>
        <v>2</v>
      </c>
      <c r="R144" s="681"/>
      <c r="W144" s="683">
        <v>0</v>
      </c>
      <c r="X144" s="683">
        <v>0</v>
      </c>
      <c r="Y144" s="683">
        <v>0</v>
      </c>
      <c r="Z144" s="683">
        <v>0</v>
      </c>
      <c r="AA144" s="683">
        <v>0</v>
      </c>
      <c r="AB144" s="683">
        <v>0</v>
      </c>
      <c r="AC144" s="683">
        <v>0</v>
      </c>
      <c r="AD144" s="683">
        <v>0</v>
      </c>
      <c r="AE144" s="684">
        <f t="shared" si="56"/>
        <v>0</v>
      </c>
      <c r="AF144" s="685"/>
      <c r="AG144" s="683">
        <f t="shared" si="57"/>
        <v>0</v>
      </c>
      <c r="AH144" s="683">
        <f t="shared" si="57"/>
        <v>0</v>
      </c>
      <c r="AI144" s="683">
        <f t="shared" si="57"/>
        <v>0</v>
      </c>
      <c r="AJ144" s="683">
        <f t="shared" si="57"/>
        <v>0</v>
      </c>
      <c r="AK144" s="683">
        <f t="shared" si="57"/>
        <v>0</v>
      </c>
      <c r="AL144" s="683">
        <f t="shared" si="57"/>
        <v>0</v>
      </c>
      <c r="AM144" s="683">
        <f t="shared" si="57"/>
        <v>0</v>
      </c>
      <c r="AN144" s="683">
        <f t="shared" si="57"/>
        <v>0</v>
      </c>
      <c r="AO144" s="683">
        <f t="shared" si="57"/>
        <v>0</v>
      </c>
      <c r="AP144" s="683">
        <f t="shared" si="57"/>
        <v>0</v>
      </c>
      <c r="AQ144" s="683">
        <f t="shared" si="57"/>
        <v>0</v>
      </c>
      <c r="AR144" s="683">
        <f t="shared" si="57"/>
        <v>0</v>
      </c>
      <c r="AS144" s="685">
        <f t="shared" si="46"/>
        <v>0</v>
      </c>
      <c r="AT144" s="685"/>
      <c r="AU144" s="686">
        <f t="shared" si="48"/>
        <v>2</v>
      </c>
      <c r="AV144" s="665">
        <f t="shared" si="53"/>
        <v>0</v>
      </c>
      <c r="AW144" s="687">
        <f t="shared" si="49"/>
        <v>-1</v>
      </c>
      <c r="AX144" s="702">
        <f t="shared" si="50"/>
        <v>0</v>
      </c>
      <c r="AY144" s="687">
        <v>0</v>
      </c>
      <c r="AZ144" s="687"/>
      <c r="BA144" s="687"/>
      <c r="BB144" s="702"/>
      <c r="BC144" s="688">
        <f t="shared" si="51"/>
        <v>5.4794520547945206E-3</v>
      </c>
    </row>
    <row r="145" spans="1:55" x14ac:dyDescent="0.25">
      <c r="B145" s="662" t="s">
        <v>1038</v>
      </c>
      <c r="C145" s="662" t="s">
        <v>939</v>
      </c>
      <c r="D145" s="663"/>
      <c r="E145" s="662">
        <v>2</v>
      </c>
      <c r="I145" s="662">
        <v>2</v>
      </c>
      <c r="L145" s="662">
        <v>1</v>
      </c>
      <c r="N145" s="662">
        <v>1</v>
      </c>
      <c r="Q145" s="681">
        <f t="shared" si="47"/>
        <v>6</v>
      </c>
      <c r="R145" s="691"/>
      <c r="S145" s="662">
        <v>1</v>
      </c>
      <c r="T145" s="662">
        <v>1</v>
      </c>
      <c r="W145" s="683">
        <v>0</v>
      </c>
      <c r="X145" s="683">
        <v>0</v>
      </c>
      <c r="Y145" s="683">
        <v>0</v>
      </c>
      <c r="Z145" s="683">
        <v>0</v>
      </c>
      <c r="AA145" s="683">
        <v>0</v>
      </c>
      <c r="AB145" s="683">
        <v>0</v>
      </c>
      <c r="AC145" s="683">
        <v>0</v>
      </c>
      <c r="AD145" s="683">
        <v>0</v>
      </c>
      <c r="AE145" s="684">
        <f t="shared" si="56"/>
        <v>2</v>
      </c>
      <c r="AG145" s="683">
        <f t="shared" si="57"/>
        <v>0</v>
      </c>
      <c r="AH145" s="683">
        <f t="shared" si="57"/>
        <v>0</v>
      </c>
      <c r="AI145" s="683">
        <f t="shared" si="57"/>
        <v>0</v>
      </c>
      <c r="AJ145" s="683">
        <f t="shared" si="57"/>
        <v>0</v>
      </c>
      <c r="AK145" s="683">
        <f t="shared" si="57"/>
        <v>0</v>
      </c>
      <c r="AL145" s="683">
        <f t="shared" si="57"/>
        <v>0</v>
      </c>
      <c r="AM145" s="683">
        <f t="shared" si="57"/>
        <v>0</v>
      </c>
      <c r="AN145" s="683">
        <f t="shared" si="57"/>
        <v>0</v>
      </c>
      <c r="AO145" s="683">
        <f t="shared" si="57"/>
        <v>0</v>
      </c>
      <c r="AP145" s="683">
        <f t="shared" si="57"/>
        <v>0</v>
      </c>
      <c r="AQ145" s="683">
        <f t="shared" si="57"/>
        <v>0</v>
      </c>
      <c r="AR145" s="683">
        <f t="shared" si="57"/>
        <v>0</v>
      </c>
      <c r="AS145" s="685">
        <f t="shared" si="46"/>
        <v>0</v>
      </c>
      <c r="AU145" s="686">
        <f t="shared" si="48"/>
        <v>6</v>
      </c>
      <c r="AV145" s="665">
        <f t="shared" si="53"/>
        <v>2</v>
      </c>
      <c r="AW145" s="687">
        <f t="shared" si="49"/>
        <v>-0.66666666666666674</v>
      </c>
      <c r="AX145" s="663">
        <f t="shared" si="50"/>
        <v>0</v>
      </c>
      <c r="AY145" s="687">
        <f t="shared" si="52"/>
        <v>-1</v>
      </c>
      <c r="AZ145" s="687"/>
      <c r="BA145" s="687"/>
      <c r="BC145" s="688">
        <f t="shared" si="51"/>
        <v>1.643835616438356E-2</v>
      </c>
    </row>
    <row r="146" spans="1:55" x14ac:dyDescent="0.25">
      <c r="B146" s="662" t="s">
        <v>1039</v>
      </c>
      <c r="C146" s="662" t="s">
        <v>939</v>
      </c>
      <c r="D146" s="663"/>
      <c r="G146" s="662">
        <v>1</v>
      </c>
      <c r="O146" s="662">
        <v>1</v>
      </c>
      <c r="Q146" s="681">
        <f t="shared" si="47"/>
        <v>2</v>
      </c>
      <c r="R146" s="691"/>
      <c r="V146" s="662">
        <v>1</v>
      </c>
      <c r="W146" s="683">
        <v>0</v>
      </c>
      <c r="X146" s="683">
        <v>0</v>
      </c>
      <c r="Y146" s="683">
        <v>0</v>
      </c>
      <c r="Z146" s="683">
        <v>0</v>
      </c>
      <c r="AA146" s="683">
        <v>0</v>
      </c>
      <c r="AB146" s="683">
        <v>0</v>
      </c>
      <c r="AC146" s="683">
        <v>0</v>
      </c>
      <c r="AD146" s="683">
        <v>0</v>
      </c>
      <c r="AE146" s="684">
        <f t="shared" si="56"/>
        <v>1</v>
      </c>
      <c r="AG146" s="683">
        <f t="shared" si="57"/>
        <v>0</v>
      </c>
      <c r="AH146" s="683">
        <f t="shared" si="57"/>
        <v>0</v>
      </c>
      <c r="AI146" s="683">
        <f t="shared" si="57"/>
        <v>0</v>
      </c>
      <c r="AJ146" s="683">
        <f t="shared" si="57"/>
        <v>0</v>
      </c>
      <c r="AK146" s="683">
        <f t="shared" si="57"/>
        <v>0</v>
      </c>
      <c r="AL146" s="683">
        <f t="shared" si="57"/>
        <v>0</v>
      </c>
      <c r="AM146" s="683">
        <f t="shared" si="57"/>
        <v>0</v>
      </c>
      <c r="AN146" s="683">
        <f t="shared" si="57"/>
        <v>0</v>
      </c>
      <c r="AO146" s="683">
        <f t="shared" si="57"/>
        <v>0</v>
      </c>
      <c r="AP146" s="683">
        <f t="shared" si="57"/>
        <v>0</v>
      </c>
      <c r="AQ146" s="683">
        <f t="shared" si="57"/>
        <v>0</v>
      </c>
      <c r="AR146" s="683">
        <f t="shared" si="57"/>
        <v>0</v>
      </c>
      <c r="AS146" s="685">
        <f t="shared" si="46"/>
        <v>0</v>
      </c>
      <c r="AU146" s="686">
        <f t="shared" si="48"/>
        <v>2</v>
      </c>
      <c r="AV146" s="665">
        <f t="shared" si="53"/>
        <v>1</v>
      </c>
      <c r="AW146" s="687">
        <f t="shared" si="49"/>
        <v>-0.5</v>
      </c>
      <c r="AX146" s="663">
        <f t="shared" si="50"/>
        <v>0</v>
      </c>
      <c r="AY146" s="687">
        <f t="shared" si="52"/>
        <v>-1</v>
      </c>
      <c r="AZ146" s="687"/>
      <c r="BA146" s="687"/>
      <c r="BC146" s="688">
        <f t="shared" si="51"/>
        <v>5.4794520547945206E-3</v>
      </c>
    </row>
    <row r="147" spans="1:55" x14ac:dyDescent="0.25">
      <c r="B147" s="662" t="s">
        <v>1040</v>
      </c>
      <c r="C147" s="662" t="s">
        <v>932</v>
      </c>
      <c r="D147" s="663"/>
      <c r="P147" s="662">
        <v>1</v>
      </c>
      <c r="Q147" s="681">
        <f t="shared" si="47"/>
        <v>1</v>
      </c>
      <c r="R147" s="691"/>
      <c r="S147" s="662">
        <v>1</v>
      </c>
      <c r="W147" s="683">
        <v>0</v>
      </c>
      <c r="X147" s="683">
        <v>0</v>
      </c>
      <c r="Y147" s="683">
        <v>0</v>
      </c>
      <c r="Z147" s="683">
        <v>0</v>
      </c>
      <c r="AA147" s="683">
        <v>0</v>
      </c>
      <c r="AB147" s="683">
        <v>0</v>
      </c>
      <c r="AC147" s="683">
        <v>0</v>
      </c>
      <c r="AD147" s="683">
        <v>0</v>
      </c>
      <c r="AE147" s="684">
        <f t="shared" si="56"/>
        <v>1</v>
      </c>
      <c r="AG147" s="683">
        <f t="shared" si="57"/>
        <v>0</v>
      </c>
      <c r="AH147" s="683">
        <f t="shared" si="57"/>
        <v>0</v>
      </c>
      <c r="AI147" s="683">
        <f t="shared" si="57"/>
        <v>0</v>
      </c>
      <c r="AJ147" s="683">
        <f t="shared" si="57"/>
        <v>0</v>
      </c>
      <c r="AK147" s="683">
        <f t="shared" si="57"/>
        <v>0</v>
      </c>
      <c r="AL147" s="683">
        <f t="shared" si="57"/>
        <v>0</v>
      </c>
      <c r="AM147" s="683">
        <f t="shared" si="57"/>
        <v>0</v>
      </c>
      <c r="AN147" s="683">
        <f t="shared" si="57"/>
        <v>0</v>
      </c>
      <c r="AO147" s="683">
        <f t="shared" si="57"/>
        <v>0</v>
      </c>
      <c r="AP147" s="683">
        <f t="shared" si="57"/>
        <v>0</v>
      </c>
      <c r="AQ147" s="683">
        <f t="shared" si="57"/>
        <v>0</v>
      </c>
      <c r="AR147" s="683">
        <f t="shared" si="57"/>
        <v>0</v>
      </c>
      <c r="AS147" s="685">
        <f t="shared" si="46"/>
        <v>0</v>
      </c>
      <c r="AU147" s="686">
        <f t="shared" si="48"/>
        <v>1</v>
      </c>
      <c r="AV147" s="665">
        <f t="shared" si="53"/>
        <v>1</v>
      </c>
      <c r="AW147" s="687">
        <f t="shared" si="49"/>
        <v>0</v>
      </c>
      <c r="AX147" s="663">
        <f t="shared" si="50"/>
        <v>0</v>
      </c>
      <c r="AY147" s="687">
        <f t="shared" si="52"/>
        <v>-1</v>
      </c>
      <c r="AZ147" s="687"/>
      <c r="BA147" s="687"/>
      <c r="BC147" s="688">
        <f t="shared" si="51"/>
        <v>5.4794520547945206E-3</v>
      </c>
    </row>
    <row r="148" spans="1:55" x14ac:dyDescent="0.25">
      <c r="C148" s="662" t="s">
        <v>939</v>
      </c>
      <c r="D148" s="663"/>
      <c r="E148" s="662">
        <v>2</v>
      </c>
      <c r="G148" s="662">
        <v>3</v>
      </c>
      <c r="H148" s="662">
        <v>4</v>
      </c>
      <c r="J148" s="662">
        <v>5</v>
      </c>
      <c r="K148" s="662">
        <v>2</v>
      </c>
      <c r="L148" s="662">
        <v>2</v>
      </c>
      <c r="M148" s="662">
        <v>2</v>
      </c>
      <c r="N148" s="662">
        <v>2</v>
      </c>
      <c r="O148" s="662">
        <v>1</v>
      </c>
      <c r="P148" s="662">
        <v>2</v>
      </c>
      <c r="Q148" s="681">
        <f t="shared" si="47"/>
        <v>25</v>
      </c>
      <c r="R148" s="691"/>
      <c r="S148" s="662">
        <v>7</v>
      </c>
      <c r="T148" s="662">
        <v>3</v>
      </c>
      <c r="U148" s="662">
        <v>6</v>
      </c>
      <c r="V148" s="662">
        <v>3</v>
      </c>
      <c r="W148" s="683">
        <v>2</v>
      </c>
      <c r="X148" s="683">
        <v>2</v>
      </c>
      <c r="Y148" s="683">
        <v>2</v>
      </c>
      <c r="Z148" s="683">
        <v>2</v>
      </c>
      <c r="AA148" s="683">
        <v>2</v>
      </c>
      <c r="AB148" s="683">
        <v>2</v>
      </c>
      <c r="AC148" s="683">
        <v>1</v>
      </c>
      <c r="AD148" s="683">
        <v>2</v>
      </c>
      <c r="AE148" s="684">
        <f t="shared" si="56"/>
        <v>34</v>
      </c>
      <c r="AG148" s="663">
        <v>3</v>
      </c>
      <c r="AH148" s="663">
        <v>3</v>
      </c>
      <c r="AI148" s="663">
        <v>3</v>
      </c>
      <c r="AJ148" s="663">
        <v>3</v>
      </c>
      <c r="AK148" s="663">
        <v>3</v>
      </c>
      <c r="AL148" s="663">
        <v>3</v>
      </c>
      <c r="AM148" s="663">
        <v>3</v>
      </c>
      <c r="AN148" s="663">
        <v>3</v>
      </c>
      <c r="AO148" s="663">
        <v>3</v>
      </c>
      <c r="AP148" s="663">
        <v>3</v>
      </c>
      <c r="AQ148" s="663">
        <v>3</v>
      </c>
      <c r="AR148" s="663">
        <v>3</v>
      </c>
      <c r="AS148" s="685">
        <f t="shared" si="46"/>
        <v>36</v>
      </c>
      <c r="AU148" s="686">
        <f t="shared" si="48"/>
        <v>25</v>
      </c>
      <c r="AV148" s="665">
        <f t="shared" si="53"/>
        <v>34</v>
      </c>
      <c r="AW148" s="687">
        <f t="shared" si="49"/>
        <v>0.3600000000000001</v>
      </c>
      <c r="AX148" s="663">
        <f t="shared" si="50"/>
        <v>36</v>
      </c>
      <c r="AY148" s="687">
        <f t="shared" si="52"/>
        <v>5.8823529411764719E-2</v>
      </c>
      <c r="AZ148" s="687"/>
      <c r="BA148" s="687"/>
      <c r="BC148" s="688">
        <f t="shared" si="51"/>
        <v>9.5890410958904104E-2</v>
      </c>
    </row>
    <row r="149" spans="1:55" x14ac:dyDescent="0.25">
      <c r="B149" s="662" t="s">
        <v>1041</v>
      </c>
      <c r="C149" s="662" t="s">
        <v>932</v>
      </c>
      <c r="D149" s="663"/>
      <c r="E149" s="662">
        <v>10</v>
      </c>
      <c r="F149" s="662">
        <v>21</v>
      </c>
      <c r="G149" s="662">
        <v>11</v>
      </c>
      <c r="H149" s="662">
        <v>7</v>
      </c>
      <c r="I149" s="662">
        <v>9</v>
      </c>
      <c r="J149" s="662">
        <v>5</v>
      </c>
      <c r="K149" s="662">
        <v>6</v>
      </c>
      <c r="L149" s="662">
        <v>6</v>
      </c>
      <c r="M149" s="662">
        <v>8</v>
      </c>
      <c r="N149" s="662">
        <v>8</v>
      </c>
      <c r="O149" s="662">
        <v>10</v>
      </c>
      <c r="P149" s="662">
        <v>7</v>
      </c>
      <c r="Q149" s="681">
        <f t="shared" si="47"/>
        <v>108</v>
      </c>
      <c r="R149" s="691"/>
      <c r="S149" s="662">
        <v>12</v>
      </c>
      <c r="T149" s="662">
        <v>7</v>
      </c>
      <c r="U149" s="662">
        <v>8</v>
      </c>
      <c r="V149" s="662">
        <v>6</v>
      </c>
      <c r="W149" s="683">
        <v>9</v>
      </c>
      <c r="X149" s="683">
        <v>5</v>
      </c>
      <c r="Y149" s="683">
        <v>6</v>
      </c>
      <c r="Z149" s="683">
        <v>6</v>
      </c>
      <c r="AA149" s="683">
        <v>8</v>
      </c>
      <c r="AB149" s="683">
        <v>8</v>
      </c>
      <c r="AC149" s="683">
        <v>10</v>
      </c>
      <c r="AD149" s="683">
        <v>7</v>
      </c>
      <c r="AE149" s="684">
        <f t="shared" si="56"/>
        <v>92</v>
      </c>
      <c r="AG149" s="663">
        <v>8</v>
      </c>
      <c r="AH149" s="663">
        <v>8</v>
      </c>
      <c r="AI149" s="663">
        <v>8</v>
      </c>
      <c r="AJ149" s="663">
        <v>8</v>
      </c>
      <c r="AK149" s="663">
        <v>8</v>
      </c>
      <c r="AL149" s="663">
        <v>8</v>
      </c>
      <c r="AM149" s="663">
        <v>8</v>
      </c>
      <c r="AN149" s="663">
        <v>8</v>
      </c>
      <c r="AO149" s="663">
        <v>8</v>
      </c>
      <c r="AP149" s="663">
        <v>8</v>
      </c>
      <c r="AQ149" s="663">
        <v>8</v>
      </c>
      <c r="AR149" s="663">
        <v>8</v>
      </c>
      <c r="AS149" s="685">
        <f t="shared" si="46"/>
        <v>96</v>
      </c>
      <c r="AU149" s="686">
        <f t="shared" si="48"/>
        <v>108</v>
      </c>
      <c r="AV149" s="665">
        <f t="shared" si="53"/>
        <v>92</v>
      </c>
      <c r="AW149" s="687">
        <f t="shared" si="49"/>
        <v>-0.14814814814814814</v>
      </c>
      <c r="AX149" s="663">
        <f t="shared" si="50"/>
        <v>96</v>
      </c>
      <c r="AY149" s="687">
        <f t="shared" si="52"/>
        <v>4.3478260869565188E-2</v>
      </c>
      <c r="AZ149" s="687"/>
      <c r="BA149" s="687"/>
      <c r="BC149" s="688">
        <f t="shared" si="51"/>
        <v>0.25205479452054796</v>
      </c>
    </row>
    <row r="150" spans="1:55" x14ac:dyDescent="0.25">
      <c r="B150" s="662" t="s">
        <v>1042</v>
      </c>
      <c r="C150" s="662" t="s">
        <v>939</v>
      </c>
      <c r="D150" s="663"/>
      <c r="J150" s="662">
        <v>1</v>
      </c>
      <c r="O150" s="662">
        <v>2</v>
      </c>
      <c r="P150" s="691"/>
      <c r="Q150" s="681">
        <f t="shared" si="47"/>
        <v>3</v>
      </c>
      <c r="R150" s="691"/>
      <c r="W150" s="683">
        <v>0</v>
      </c>
      <c r="X150" s="683">
        <v>0</v>
      </c>
      <c r="Y150" s="683">
        <v>0</v>
      </c>
      <c r="Z150" s="683">
        <v>0</v>
      </c>
      <c r="AA150" s="683">
        <v>0</v>
      </c>
      <c r="AB150" s="683">
        <v>0</v>
      </c>
      <c r="AC150" s="683">
        <v>0</v>
      </c>
      <c r="AD150" s="683">
        <v>0</v>
      </c>
      <c r="AE150" s="684">
        <f t="shared" si="56"/>
        <v>0</v>
      </c>
      <c r="AG150" s="683">
        <f t="shared" ref="AG150:AR150" si="58">$BC150*AG$1</f>
        <v>0</v>
      </c>
      <c r="AH150" s="683">
        <f t="shared" si="58"/>
        <v>0</v>
      </c>
      <c r="AI150" s="683">
        <f t="shared" si="58"/>
        <v>0</v>
      </c>
      <c r="AJ150" s="683">
        <f t="shared" si="58"/>
        <v>0</v>
      </c>
      <c r="AK150" s="683">
        <f t="shared" si="58"/>
        <v>0</v>
      </c>
      <c r="AL150" s="683">
        <f t="shared" si="58"/>
        <v>0</v>
      </c>
      <c r="AM150" s="683">
        <f t="shared" si="58"/>
        <v>0</v>
      </c>
      <c r="AN150" s="683">
        <f t="shared" si="58"/>
        <v>0</v>
      </c>
      <c r="AO150" s="683">
        <f t="shared" si="58"/>
        <v>0</v>
      </c>
      <c r="AP150" s="683">
        <f t="shared" si="58"/>
        <v>0</v>
      </c>
      <c r="AQ150" s="683">
        <f t="shared" si="58"/>
        <v>0</v>
      </c>
      <c r="AR150" s="683">
        <f t="shared" si="58"/>
        <v>0</v>
      </c>
      <c r="AS150" s="685">
        <f t="shared" si="46"/>
        <v>0</v>
      </c>
      <c r="AU150" s="686">
        <f t="shared" si="48"/>
        <v>3</v>
      </c>
      <c r="AV150" s="665">
        <f t="shared" si="53"/>
        <v>0</v>
      </c>
      <c r="AW150" s="687">
        <f t="shared" si="49"/>
        <v>-1</v>
      </c>
      <c r="AX150" s="663">
        <f t="shared" si="50"/>
        <v>0</v>
      </c>
      <c r="AY150" s="687">
        <v>0</v>
      </c>
      <c r="AZ150" s="687"/>
      <c r="BA150" s="687"/>
      <c r="BC150" s="688">
        <f t="shared" si="51"/>
        <v>8.21917808219178E-3</v>
      </c>
    </row>
    <row r="151" spans="1:55" x14ac:dyDescent="0.25">
      <c r="B151" s="662" t="s">
        <v>1043</v>
      </c>
      <c r="C151" s="662" t="s">
        <v>932</v>
      </c>
      <c r="D151" s="663"/>
      <c r="E151" s="704"/>
      <c r="F151" s="704"/>
      <c r="G151" s="704"/>
      <c r="H151" s="704"/>
      <c r="I151" s="704"/>
      <c r="J151" s="704"/>
      <c r="K151" s="704"/>
      <c r="L151" s="704"/>
      <c r="M151" s="704"/>
      <c r="N151" s="704"/>
      <c r="O151" s="704"/>
      <c r="P151" s="682"/>
      <c r="Q151" s="681">
        <f t="shared" si="47"/>
        <v>0</v>
      </c>
      <c r="R151" s="682"/>
      <c r="S151" s="662">
        <v>1</v>
      </c>
      <c r="V151" s="662">
        <v>1</v>
      </c>
      <c r="W151" s="683">
        <v>0</v>
      </c>
      <c r="X151" s="683">
        <v>0</v>
      </c>
      <c r="Y151" s="683">
        <v>1</v>
      </c>
      <c r="Z151" s="683">
        <v>0</v>
      </c>
      <c r="AA151" s="683">
        <v>0</v>
      </c>
      <c r="AB151" s="683">
        <v>1</v>
      </c>
      <c r="AC151" s="683">
        <v>0</v>
      </c>
      <c r="AD151" s="683">
        <v>0</v>
      </c>
      <c r="AE151" s="684">
        <f t="shared" si="56"/>
        <v>4</v>
      </c>
      <c r="AG151" s="663">
        <v>1</v>
      </c>
      <c r="AJ151" s="663">
        <v>1</v>
      </c>
      <c r="AM151" s="663">
        <v>1</v>
      </c>
      <c r="AP151" s="663">
        <v>1</v>
      </c>
      <c r="AS151" s="685">
        <f t="shared" si="46"/>
        <v>4</v>
      </c>
      <c r="AU151" s="686">
        <f t="shared" si="48"/>
        <v>0</v>
      </c>
      <c r="AV151" s="665">
        <f t="shared" si="53"/>
        <v>4</v>
      </c>
      <c r="AW151" s="687">
        <v>1</v>
      </c>
      <c r="AX151" s="663">
        <f t="shared" si="50"/>
        <v>4</v>
      </c>
      <c r="AY151" s="687">
        <f t="shared" si="52"/>
        <v>0</v>
      </c>
      <c r="BC151" s="688">
        <f t="shared" si="51"/>
        <v>5.4794520547945206E-3</v>
      </c>
    </row>
    <row r="152" spans="1:55" x14ac:dyDescent="0.25">
      <c r="C152" s="662" t="s">
        <v>939</v>
      </c>
      <c r="D152" s="663"/>
      <c r="E152" s="664">
        <v>3</v>
      </c>
      <c r="F152" s="664">
        <v>1</v>
      </c>
      <c r="G152" s="664"/>
      <c r="H152" s="664"/>
      <c r="I152" s="664">
        <v>3</v>
      </c>
      <c r="J152" s="664">
        <v>7</v>
      </c>
      <c r="K152" s="664">
        <v>2</v>
      </c>
      <c r="L152" s="664"/>
      <c r="M152" s="664">
        <v>2</v>
      </c>
      <c r="N152" s="664">
        <v>7</v>
      </c>
      <c r="O152" s="664">
        <v>1</v>
      </c>
      <c r="P152" s="681">
        <v>2</v>
      </c>
      <c r="Q152" s="681">
        <f t="shared" si="47"/>
        <v>28</v>
      </c>
      <c r="R152" s="681"/>
      <c r="S152" s="662">
        <v>3</v>
      </c>
      <c r="T152" s="662">
        <v>4</v>
      </c>
      <c r="U152" s="662">
        <v>3</v>
      </c>
      <c r="V152" s="662">
        <v>5</v>
      </c>
      <c r="W152" s="683">
        <v>3</v>
      </c>
      <c r="X152" s="683">
        <v>7</v>
      </c>
      <c r="Y152" s="683">
        <v>2</v>
      </c>
      <c r="Z152" s="683">
        <v>2</v>
      </c>
      <c r="AA152" s="683">
        <v>2</v>
      </c>
      <c r="AB152" s="683">
        <v>7</v>
      </c>
      <c r="AC152" s="683">
        <v>1</v>
      </c>
      <c r="AD152" s="683">
        <v>2</v>
      </c>
      <c r="AE152" s="684">
        <f t="shared" si="56"/>
        <v>41</v>
      </c>
      <c r="AG152" s="705">
        <v>3</v>
      </c>
      <c r="AH152" s="705">
        <v>3</v>
      </c>
      <c r="AI152" s="705">
        <v>4</v>
      </c>
      <c r="AJ152" s="705">
        <v>3</v>
      </c>
      <c r="AK152" s="705">
        <v>4</v>
      </c>
      <c r="AL152" s="705">
        <v>3</v>
      </c>
      <c r="AM152" s="705">
        <v>3</v>
      </c>
      <c r="AN152" s="705">
        <v>3</v>
      </c>
      <c r="AO152" s="705">
        <v>4</v>
      </c>
      <c r="AP152" s="705">
        <v>4</v>
      </c>
      <c r="AQ152" s="705">
        <v>4</v>
      </c>
      <c r="AR152" s="705">
        <v>4</v>
      </c>
      <c r="AS152" s="685">
        <f t="shared" si="46"/>
        <v>42</v>
      </c>
      <c r="AU152" s="686">
        <f t="shared" si="48"/>
        <v>28</v>
      </c>
      <c r="AV152" s="665">
        <f t="shared" si="53"/>
        <v>41</v>
      </c>
      <c r="AW152" s="687">
        <f t="shared" si="49"/>
        <v>0.46428571428571419</v>
      </c>
      <c r="AX152" s="663">
        <f t="shared" si="50"/>
        <v>42</v>
      </c>
      <c r="AY152" s="687">
        <f t="shared" si="52"/>
        <v>2.4390243902439046E-2</v>
      </c>
      <c r="AZ152" s="687"/>
      <c r="BA152" s="687"/>
      <c r="BC152" s="688">
        <f t="shared" si="51"/>
        <v>0.10684931506849316</v>
      </c>
    </row>
    <row r="153" spans="1:55" x14ac:dyDescent="0.25">
      <c r="B153" s="662" t="s">
        <v>1044</v>
      </c>
      <c r="C153" s="662" t="s">
        <v>939</v>
      </c>
      <c r="D153" s="663"/>
      <c r="H153" s="662">
        <v>1</v>
      </c>
      <c r="Q153" s="681">
        <f t="shared" si="47"/>
        <v>1</v>
      </c>
      <c r="R153" s="691"/>
      <c r="V153" s="662">
        <v>1</v>
      </c>
      <c r="W153" s="683">
        <v>0</v>
      </c>
      <c r="X153" s="683">
        <v>0</v>
      </c>
      <c r="Y153" s="683">
        <v>0</v>
      </c>
      <c r="Z153" s="683">
        <v>0</v>
      </c>
      <c r="AA153" s="683">
        <v>0</v>
      </c>
      <c r="AB153" s="683">
        <v>0</v>
      </c>
      <c r="AC153" s="683">
        <v>0</v>
      </c>
      <c r="AD153" s="683">
        <v>0</v>
      </c>
      <c r="AE153" s="684">
        <f t="shared" si="56"/>
        <v>1</v>
      </c>
      <c r="AG153" s="683">
        <f t="shared" ref="AG153:AR153" si="59">$BC153*AG$1</f>
        <v>0</v>
      </c>
      <c r="AH153" s="683">
        <f t="shared" si="59"/>
        <v>0</v>
      </c>
      <c r="AI153" s="683">
        <f t="shared" si="59"/>
        <v>0</v>
      </c>
      <c r="AJ153" s="683">
        <f t="shared" si="59"/>
        <v>0</v>
      </c>
      <c r="AK153" s="683">
        <f t="shared" si="59"/>
        <v>0</v>
      </c>
      <c r="AL153" s="683">
        <f t="shared" si="59"/>
        <v>0</v>
      </c>
      <c r="AM153" s="683">
        <f t="shared" si="59"/>
        <v>0</v>
      </c>
      <c r="AN153" s="683">
        <f t="shared" si="59"/>
        <v>0</v>
      </c>
      <c r="AO153" s="683">
        <f t="shared" si="59"/>
        <v>0</v>
      </c>
      <c r="AP153" s="683">
        <f t="shared" si="59"/>
        <v>0</v>
      </c>
      <c r="AQ153" s="683">
        <f t="shared" si="59"/>
        <v>0</v>
      </c>
      <c r="AR153" s="683">
        <f t="shared" si="59"/>
        <v>0</v>
      </c>
      <c r="AS153" s="685">
        <f t="shared" si="46"/>
        <v>0</v>
      </c>
      <c r="AU153" s="686">
        <f t="shared" si="48"/>
        <v>1</v>
      </c>
      <c r="AV153" s="665">
        <f t="shared" si="53"/>
        <v>1</v>
      </c>
      <c r="AW153" s="687">
        <f t="shared" si="49"/>
        <v>0</v>
      </c>
      <c r="AX153" s="663">
        <f t="shared" si="50"/>
        <v>0</v>
      </c>
      <c r="AY153" s="687">
        <f t="shared" si="52"/>
        <v>-1</v>
      </c>
      <c r="AZ153" s="687"/>
      <c r="BA153" s="687"/>
      <c r="BC153" s="688">
        <f t="shared" si="51"/>
        <v>2.7397260273972603E-3</v>
      </c>
    </row>
    <row r="154" spans="1:55" x14ac:dyDescent="0.25">
      <c r="B154" s="662" t="s">
        <v>1045</v>
      </c>
      <c r="C154" s="662" t="s">
        <v>932</v>
      </c>
      <c r="D154" s="663"/>
      <c r="F154" s="662">
        <v>2</v>
      </c>
      <c r="G154" s="662">
        <v>5</v>
      </c>
      <c r="H154" s="662">
        <v>7</v>
      </c>
      <c r="I154" s="662">
        <v>7</v>
      </c>
      <c r="J154" s="662">
        <v>10</v>
      </c>
      <c r="K154" s="662">
        <v>10</v>
      </c>
      <c r="L154" s="662">
        <v>3</v>
      </c>
      <c r="M154" s="662">
        <v>10</v>
      </c>
      <c r="N154" s="662">
        <v>8</v>
      </c>
      <c r="O154" s="662">
        <v>8</v>
      </c>
      <c r="P154" s="662">
        <v>9</v>
      </c>
      <c r="Q154" s="681">
        <f t="shared" si="47"/>
        <v>79</v>
      </c>
      <c r="R154" s="691"/>
      <c r="S154" s="662">
        <v>10</v>
      </c>
      <c r="T154" s="662">
        <v>12</v>
      </c>
      <c r="U154" s="662">
        <v>7</v>
      </c>
      <c r="V154" s="662">
        <v>9</v>
      </c>
      <c r="W154" s="683">
        <v>7</v>
      </c>
      <c r="X154" s="683">
        <v>10</v>
      </c>
      <c r="Y154" s="683">
        <v>10</v>
      </c>
      <c r="Z154" s="683">
        <v>3</v>
      </c>
      <c r="AA154" s="683">
        <v>10</v>
      </c>
      <c r="AB154" s="683">
        <v>8</v>
      </c>
      <c r="AC154" s="683">
        <v>8</v>
      </c>
      <c r="AD154" s="683">
        <v>9</v>
      </c>
      <c r="AE154" s="684">
        <f t="shared" si="56"/>
        <v>103</v>
      </c>
      <c r="AG154" s="692">
        <v>9</v>
      </c>
      <c r="AH154" s="692">
        <v>9</v>
      </c>
      <c r="AI154" s="692">
        <v>9</v>
      </c>
      <c r="AJ154" s="692">
        <v>9</v>
      </c>
      <c r="AK154" s="692">
        <v>9</v>
      </c>
      <c r="AL154" s="692">
        <v>9</v>
      </c>
      <c r="AM154" s="692">
        <v>9</v>
      </c>
      <c r="AN154" s="692">
        <v>9</v>
      </c>
      <c r="AO154" s="692">
        <v>9</v>
      </c>
      <c r="AP154" s="692">
        <v>9</v>
      </c>
      <c r="AQ154" s="692">
        <v>9</v>
      </c>
      <c r="AR154" s="692">
        <v>9</v>
      </c>
      <c r="AS154" s="685">
        <f t="shared" si="46"/>
        <v>108</v>
      </c>
      <c r="AU154" s="686">
        <f t="shared" si="48"/>
        <v>79</v>
      </c>
      <c r="AV154" s="665">
        <f t="shared" si="53"/>
        <v>103</v>
      </c>
      <c r="AW154" s="687">
        <f t="shared" si="49"/>
        <v>0.30379746835443044</v>
      </c>
      <c r="AX154" s="663">
        <f t="shared" si="50"/>
        <v>108</v>
      </c>
      <c r="AY154" s="687">
        <f t="shared" si="52"/>
        <v>4.8543689320388328E-2</v>
      </c>
      <c r="AZ154" s="687"/>
      <c r="BA154" s="687"/>
      <c r="BC154" s="688">
        <f t="shared" si="51"/>
        <v>0.28219178082191781</v>
      </c>
    </row>
    <row r="155" spans="1:55" x14ac:dyDescent="0.25">
      <c r="B155" s="662" t="s">
        <v>1046</v>
      </c>
      <c r="C155" s="662" t="s">
        <v>939</v>
      </c>
      <c r="D155" s="663"/>
      <c r="M155" s="662">
        <v>1</v>
      </c>
      <c r="Q155" s="681">
        <f t="shared" si="47"/>
        <v>1</v>
      </c>
      <c r="R155" s="691"/>
      <c r="W155" s="683">
        <v>0</v>
      </c>
      <c r="X155" s="683">
        <v>0</v>
      </c>
      <c r="Y155" s="683">
        <v>0</v>
      </c>
      <c r="Z155" s="683">
        <v>0</v>
      </c>
      <c r="AA155" s="683">
        <v>0</v>
      </c>
      <c r="AB155" s="683">
        <v>0</v>
      </c>
      <c r="AC155" s="683">
        <v>0</v>
      </c>
      <c r="AD155" s="683">
        <v>0</v>
      </c>
      <c r="AE155" s="684">
        <f t="shared" si="56"/>
        <v>0</v>
      </c>
      <c r="AG155" s="683">
        <f t="shared" ref="AG155:AR155" si="60">$BC155*AG$1</f>
        <v>0</v>
      </c>
      <c r="AH155" s="683">
        <f t="shared" si="60"/>
        <v>0</v>
      </c>
      <c r="AI155" s="683">
        <f t="shared" si="60"/>
        <v>0</v>
      </c>
      <c r="AJ155" s="683">
        <f t="shared" si="60"/>
        <v>0</v>
      </c>
      <c r="AK155" s="683">
        <f t="shared" si="60"/>
        <v>0</v>
      </c>
      <c r="AL155" s="683">
        <f t="shared" si="60"/>
        <v>0</v>
      </c>
      <c r="AM155" s="683">
        <f t="shared" si="60"/>
        <v>0</v>
      </c>
      <c r="AN155" s="683">
        <f t="shared" si="60"/>
        <v>0</v>
      </c>
      <c r="AO155" s="683">
        <f t="shared" si="60"/>
        <v>0</v>
      </c>
      <c r="AP155" s="683">
        <f t="shared" si="60"/>
        <v>0</v>
      </c>
      <c r="AQ155" s="683">
        <f t="shared" si="60"/>
        <v>0</v>
      </c>
      <c r="AR155" s="683">
        <f t="shared" si="60"/>
        <v>0</v>
      </c>
      <c r="AS155" s="685">
        <f t="shared" si="46"/>
        <v>0</v>
      </c>
      <c r="AU155" s="686">
        <f t="shared" si="48"/>
        <v>1</v>
      </c>
      <c r="AV155" s="665">
        <f t="shared" si="53"/>
        <v>0</v>
      </c>
      <c r="AW155" s="687">
        <f t="shared" si="49"/>
        <v>-1</v>
      </c>
      <c r="AX155" s="663">
        <f t="shared" si="50"/>
        <v>0</v>
      </c>
      <c r="AY155" s="687">
        <v>0</v>
      </c>
      <c r="AZ155" s="687"/>
      <c r="BA155" s="687"/>
      <c r="BC155" s="688">
        <f t="shared" si="51"/>
        <v>2.7397260273972603E-3</v>
      </c>
    </row>
    <row r="156" spans="1:55" x14ac:dyDescent="0.25">
      <c r="A156" s="693" t="s">
        <v>1047</v>
      </c>
      <c r="B156" s="693"/>
      <c r="C156" s="693"/>
      <c r="D156" s="694"/>
      <c r="E156" s="693">
        <v>42</v>
      </c>
      <c r="F156" s="693">
        <v>51</v>
      </c>
      <c r="G156" s="693">
        <v>43</v>
      </c>
      <c r="H156" s="693">
        <v>42</v>
      </c>
      <c r="I156" s="693">
        <v>39</v>
      </c>
      <c r="J156" s="693">
        <v>42</v>
      </c>
      <c r="K156" s="693">
        <v>34</v>
      </c>
      <c r="L156" s="693">
        <v>27</v>
      </c>
      <c r="M156" s="693">
        <v>37</v>
      </c>
      <c r="N156" s="693">
        <v>45</v>
      </c>
      <c r="O156" s="693">
        <v>53</v>
      </c>
      <c r="P156" s="693">
        <v>30</v>
      </c>
      <c r="Q156" s="695">
        <f t="shared" si="47"/>
        <v>485</v>
      </c>
      <c r="R156" s="695"/>
      <c r="S156" s="693">
        <v>48</v>
      </c>
      <c r="T156" s="693">
        <v>44</v>
      </c>
      <c r="U156" s="693">
        <v>40</v>
      </c>
      <c r="V156" s="693">
        <v>42</v>
      </c>
      <c r="W156" s="696">
        <f>SUM(W135:W155)</f>
        <v>36.589041095890408</v>
      </c>
      <c r="X156" s="696">
        <f t="shared" ref="X156:AD156" si="61">SUM(X135:X155)</f>
        <v>38</v>
      </c>
      <c r="Y156" s="696">
        <f t="shared" si="61"/>
        <v>36</v>
      </c>
      <c r="Z156" s="696">
        <f t="shared" si="61"/>
        <v>27</v>
      </c>
      <c r="AA156" s="696">
        <f t="shared" si="61"/>
        <v>38</v>
      </c>
      <c r="AB156" s="696">
        <f t="shared" si="61"/>
        <v>41</v>
      </c>
      <c r="AC156" s="696">
        <f t="shared" si="61"/>
        <v>40</v>
      </c>
      <c r="AD156" s="696">
        <f t="shared" si="61"/>
        <v>35.589041095890408</v>
      </c>
      <c r="AE156" s="697">
        <f t="shared" si="56"/>
        <v>466.17808219178085</v>
      </c>
      <c r="AF156" s="694"/>
      <c r="AG156" s="694">
        <f t="shared" ref="AG156:AR156" si="62">SUM(AG135:AG155)</f>
        <v>39</v>
      </c>
      <c r="AH156" s="694">
        <f t="shared" si="62"/>
        <v>40</v>
      </c>
      <c r="AI156" s="694">
        <f t="shared" si="62"/>
        <v>39</v>
      </c>
      <c r="AJ156" s="694">
        <f t="shared" si="62"/>
        <v>40</v>
      </c>
      <c r="AK156" s="694">
        <f t="shared" si="62"/>
        <v>40</v>
      </c>
      <c r="AL156" s="694">
        <f t="shared" si="62"/>
        <v>39</v>
      </c>
      <c r="AM156" s="694">
        <f t="shared" si="62"/>
        <v>40</v>
      </c>
      <c r="AN156" s="694">
        <f t="shared" si="62"/>
        <v>38</v>
      </c>
      <c r="AO156" s="694">
        <f t="shared" si="62"/>
        <v>39</v>
      </c>
      <c r="AP156" s="694">
        <f t="shared" si="62"/>
        <v>40</v>
      </c>
      <c r="AQ156" s="694">
        <f t="shared" si="62"/>
        <v>39</v>
      </c>
      <c r="AR156" s="694">
        <f t="shared" si="62"/>
        <v>39</v>
      </c>
      <c r="AS156" s="694">
        <f>SUM(AS135:AS155)</f>
        <v>472</v>
      </c>
      <c r="AT156" s="694"/>
      <c r="AU156" s="697">
        <f t="shared" si="48"/>
        <v>485</v>
      </c>
      <c r="AV156" s="697">
        <f t="shared" si="53"/>
        <v>466.17808219178085</v>
      </c>
      <c r="AW156" s="698">
        <f t="shared" si="49"/>
        <v>-3.8808077955091003E-2</v>
      </c>
      <c r="AX156" s="694">
        <f t="shared" si="50"/>
        <v>472</v>
      </c>
      <c r="AY156" s="698">
        <f t="shared" si="52"/>
        <v>1.2488613323146547E-2</v>
      </c>
      <c r="AZ156" s="698"/>
      <c r="BA156" s="698"/>
      <c r="BC156" s="688">
        <f t="shared" si="51"/>
        <v>1.3178082191780822</v>
      </c>
    </row>
    <row r="157" spans="1:55" x14ac:dyDescent="0.25">
      <c r="A157" s="664" t="s">
        <v>1048</v>
      </c>
      <c r="B157" s="662" t="s">
        <v>1049</v>
      </c>
      <c r="C157" s="662" t="s">
        <v>932</v>
      </c>
      <c r="D157" s="663" t="s">
        <v>1050</v>
      </c>
      <c r="K157" s="662">
        <v>1</v>
      </c>
      <c r="Q157" s="681">
        <f t="shared" si="47"/>
        <v>1</v>
      </c>
      <c r="R157" s="691"/>
      <c r="W157" s="683">
        <v>0</v>
      </c>
      <c r="X157" s="683">
        <v>0</v>
      </c>
      <c r="Y157" s="663">
        <v>1</v>
      </c>
      <c r="Z157" s="683">
        <v>0</v>
      </c>
      <c r="AA157" s="683">
        <v>0</v>
      </c>
      <c r="AB157" s="683">
        <v>0</v>
      </c>
      <c r="AC157" s="683">
        <v>0</v>
      </c>
      <c r="AD157" s="683">
        <v>0</v>
      </c>
      <c r="AE157" s="684">
        <f t="shared" si="56"/>
        <v>1</v>
      </c>
      <c r="AG157" s="683">
        <v>0</v>
      </c>
      <c r="AH157" s="683">
        <v>0</v>
      </c>
      <c r="AI157" s="683">
        <v>0</v>
      </c>
      <c r="AJ157" s="683">
        <v>0</v>
      </c>
      <c r="AK157" s="683">
        <v>0</v>
      </c>
      <c r="AL157" s="683">
        <v>0</v>
      </c>
      <c r="AM157" s="683">
        <v>0</v>
      </c>
      <c r="AN157" s="683">
        <v>0</v>
      </c>
      <c r="AO157" s="683">
        <v>0</v>
      </c>
      <c r="AP157" s="683">
        <v>0</v>
      </c>
      <c r="AQ157" s="683">
        <v>0</v>
      </c>
      <c r="AR157" s="683">
        <v>0</v>
      </c>
      <c r="AS157" s="685">
        <f t="shared" ref="AS157:AS220" si="63">SUM(AG157:AR157)</f>
        <v>0</v>
      </c>
      <c r="AU157" s="686">
        <f t="shared" si="48"/>
        <v>1</v>
      </c>
      <c r="AV157" s="665">
        <f t="shared" si="53"/>
        <v>1</v>
      </c>
      <c r="AW157" s="687">
        <f t="shared" si="49"/>
        <v>0</v>
      </c>
      <c r="AX157" s="663">
        <f t="shared" si="50"/>
        <v>0</v>
      </c>
      <c r="AY157" s="687">
        <f t="shared" si="52"/>
        <v>-1</v>
      </c>
      <c r="AZ157" s="687"/>
      <c r="BA157" s="687"/>
      <c r="BC157" s="688">
        <f t="shared" si="51"/>
        <v>2.7397260273972603E-3</v>
      </c>
    </row>
    <row r="158" spans="1:55" x14ac:dyDescent="0.25">
      <c r="C158" s="662" t="s">
        <v>939</v>
      </c>
      <c r="D158" s="663" t="s">
        <v>1050</v>
      </c>
      <c r="F158" s="662">
        <v>2</v>
      </c>
      <c r="G158" s="662">
        <v>9</v>
      </c>
      <c r="H158" s="662">
        <v>3</v>
      </c>
      <c r="I158" s="662">
        <v>2</v>
      </c>
      <c r="J158" s="662">
        <v>4</v>
      </c>
      <c r="K158" s="662">
        <v>8</v>
      </c>
      <c r="L158" s="662">
        <v>5</v>
      </c>
      <c r="M158" s="662">
        <v>2</v>
      </c>
      <c r="N158" s="662">
        <v>2</v>
      </c>
      <c r="O158" s="662">
        <v>1</v>
      </c>
      <c r="P158" s="662">
        <v>6</v>
      </c>
      <c r="Q158" s="681">
        <f t="shared" si="47"/>
        <v>44</v>
      </c>
      <c r="R158" s="691"/>
      <c r="S158" s="662">
        <v>4</v>
      </c>
      <c r="T158" s="662">
        <v>1</v>
      </c>
      <c r="U158" s="662">
        <v>2</v>
      </c>
      <c r="V158" s="662">
        <v>4</v>
      </c>
      <c r="W158" s="663">
        <v>2</v>
      </c>
      <c r="X158" s="663">
        <v>4</v>
      </c>
      <c r="Y158" s="663">
        <v>8</v>
      </c>
      <c r="Z158" s="663">
        <v>5</v>
      </c>
      <c r="AA158" s="663">
        <v>2</v>
      </c>
      <c r="AB158" s="663">
        <v>2</v>
      </c>
      <c r="AC158" s="663">
        <v>1</v>
      </c>
      <c r="AD158" s="663">
        <v>6</v>
      </c>
      <c r="AE158" s="684">
        <f t="shared" si="56"/>
        <v>41</v>
      </c>
      <c r="AG158" s="692">
        <v>4</v>
      </c>
      <c r="AH158" s="692">
        <v>4</v>
      </c>
      <c r="AI158" s="692">
        <v>4</v>
      </c>
      <c r="AJ158" s="692">
        <v>4</v>
      </c>
      <c r="AK158" s="692">
        <v>3</v>
      </c>
      <c r="AL158" s="692">
        <v>3</v>
      </c>
      <c r="AM158" s="692">
        <v>3</v>
      </c>
      <c r="AN158" s="692">
        <v>4</v>
      </c>
      <c r="AO158" s="692">
        <v>4</v>
      </c>
      <c r="AP158" s="692">
        <v>4</v>
      </c>
      <c r="AQ158" s="692">
        <v>4</v>
      </c>
      <c r="AR158" s="692">
        <v>4</v>
      </c>
      <c r="AS158" s="685">
        <f t="shared" si="63"/>
        <v>45</v>
      </c>
      <c r="AU158" s="686">
        <f t="shared" si="48"/>
        <v>44</v>
      </c>
      <c r="AV158" s="665">
        <f t="shared" si="53"/>
        <v>41</v>
      </c>
      <c r="AW158" s="687">
        <f t="shared" si="49"/>
        <v>-6.8181818181818232E-2</v>
      </c>
      <c r="AX158" s="663">
        <f t="shared" si="50"/>
        <v>45</v>
      </c>
      <c r="AY158" s="687">
        <f t="shared" si="52"/>
        <v>9.7560975609756184E-2</v>
      </c>
      <c r="AZ158" s="687"/>
      <c r="BA158" s="687"/>
      <c r="BC158" s="688">
        <f t="shared" si="51"/>
        <v>0.11232876712328767</v>
      </c>
    </row>
    <row r="159" spans="1:55" x14ac:dyDescent="0.25">
      <c r="C159" s="662" t="s">
        <v>961</v>
      </c>
      <c r="D159" s="663" t="s">
        <v>1050</v>
      </c>
      <c r="E159" s="662">
        <v>2</v>
      </c>
      <c r="F159" s="662">
        <v>2</v>
      </c>
      <c r="G159" s="662">
        <v>2</v>
      </c>
      <c r="I159" s="662">
        <v>1</v>
      </c>
      <c r="J159" s="662">
        <v>2</v>
      </c>
      <c r="L159" s="662">
        <v>1</v>
      </c>
      <c r="M159" s="662">
        <v>1</v>
      </c>
      <c r="N159" s="662">
        <v>2</v>
      </c>
      <c r="O159" s="662">
        <v>2</v>
      </c>
      <c r="Q159" s="681">
        <f t="shared" si="47"/>
        <v>15</v>
      </c>
      <c r="R159" s="691"/>
      <c r="S159" s="662">
        <v>2</v>
      </c>
      <c r="U159" s="662">
        <v>5</v>
      </c>
      <c r="V159" s="662">
        <v>5</v>
      </c>
      <c r="W159" s="663">
        <v>1</v>
      </c>
      <c r="X159" s="663">
        <v>2</v>
      </c>
      <c r="Z159" s="663">
        <v>1</v>
      </c>
      <c r="AA159" s="663">
        <v>1</v>
      </c>
      <c r="AB159" s="663">
        <v>2</v>
      </c>
      <c r="AC159" s="663">
        <v>2</v>
      </c>
      <c r="AD159" s="683">
        <v>0</v>
      </c>
      <c r="AE159" s="684">
        <f t="shared" si="56"/>
        <v>21</v>
      </c>
      <c r="AG159" s="692">
        <v>2</v>
      </c>
      <c r="AH159" s="692">
        <v>2</v>
      </c>
      <c r="AI159" s="692">
        <v>2</v>
      </c>
      <c r="AJ159" s="692">
        <v>2</v>
      </c>
      <c r="AK159" s="692">
        <v>1</v>
      </c>
      <c r="AL159" s="692">
        <v>1</v>
      </c>
      <c r="AM159" s="692">
        <v>2</v>
      </c>
      <c r="AN159" s="692">
        <v>2</v>
      </c>
      <c r="AO159" s="692">
        <v>2</v>
      </c>
      <c r="AP159" s="692">
        <v>2</v>
      </c>
      <c r="AQ159" s="692">
        <v>2</v>
      </c>
      <c r="AR159" s="692">
        <v>2</v>
      </c>
      <c r="AS159" s="685">
        <f t="shared" si="63"/>
        <v>22</v>
      </c>
      <c r="AU159" s="686">
        <f t="shared" si="48"/>
        <v>15</v>
      </c>
      <c r="AV159" s="665">
        <f t="shared" si="53"/>
        <v>21</v>
      </c>
      <c r="AW159" s="687">
        <f t="shared" si="49"/>
        <v>0.39999999999999991</v>
      </c>
      <c r="AX159" s="663">
        <f t="shared" si="50"/>
        <v>22</v>
      </c>
      <c r="AY159" s="687">
        <f t="shared" si="52"/>
        <v>4.7619047619047672E-2</v>
      </c>
      <c r="AZ159" s="687"/>
      <c r="BA159" s="687"/>
      <c r="BC159" s="688">
        <f t="shared" si="51"/>
        <v>5.7534246575342465E-2</v>
      </c>
    </row>
    <row r="160" spans="1:55" x14ac:dyDescent="0.25">
      <c r="B160" s="662" t="s">
        <v>1051</v>
      </c>
      <c r="C160" s="662" t="s">
        <v>939</v>
      </c>
      <c r="D160" s="663" t="s">
        <v>945</v>
      </c>
      <c r="E160" s="662">
        <v>4</v>
      </c>
      <c r="F160" s="662">
        <v>15</v>
      </c>
      <c r="G160" s="662">
        <v>9</v>
      </c>
      <c r="H160" s="662">
        <v>8</v>
      </c>
      <c r="I160" s="662">
        <v>9</v>
      </c>
      <c r="J160" s="662">
        <v>6</v>
      </c>
      <c r="K160" s="662">
        <v>4</v>
      </c>
      <c r="L160" s="662">
        <v>5</v>
      </c>
      <c r="M160" s="662">
        <v>8</v>
      </c>
      <c r="N160" s="662">
        <v>4</v>
      </c>
      <c r="O160" s="662">
        <v>6</v>
      </c>
      <c r="P160" s="662">
        <v>3</v>
      </c>
      <c r="Q160" s="681">
        <f t="shared" si="47"/>
        <v>81</v>
      </c>
      <c r="R160" s="699"/>
      <c r="W160" s="683">
        <v>0</v>
      </c>
      <c r="X160" s="683">
        <v>0</v>
      </c>
      <c r="Y160" s="683">
        <v>0</v>
      </c>
      <c r="Z160" s="683">
        <v>0</v>
      </c>
      <c r="AA160" s="683">
        <v>0</v>
      </c>
      <c r="AB160" s="683">
        <v>0</v>
      </c>
      <c r="AC160" s="683">
        <v>0</v>
      </c>
      <c r="AD160" s="683">
        <v>0</v>
      </c>
      <c r="AE160" s="684">
        <f t="shared" si="56"/>
        <v>0</v>
      </c>
      <c r="AF160" s="700"/>
      <c r="AG160" s="683">
        <v>0</v>
      </c>
      <c r="AH160" s="683">
        <v>0</v>
      </c>
      <c r="AI160" s="683">
        <v>0</v>
      </c>
      <c r="AJ160" s="683">
        <v>0</v>
      </c>
      <c r="AK160" s="683">
        <v>0</v>
      </c>
      <c r="AL160" s="683">
        <v>0</v>
      </c>
      <c r="AM160" s="683">
        <v>0</v>
      </c>
      <c r="AN160" s="683">
        <v>0</v>
      </c>
      <c r="AO160" s="683">
        <v>0</v>
      </c>
      <c r="AP160" s="683">
        <v>0</v>
      </c>
      <c r="AQ160" s="683">
        <v>0</v>
      </c>
      <c r="AR160" s="683">
        <v>0</v>
      </c>
      <c r="AS160" s="685">
        <f t="shared" si="63"/>
        <v>0</v>
      </c>
      <c r="AT160" s="700"/>
      <c r="AU160" s="686">
        <f t="shared" si="48"/>
        <v>81</v>
      </c>
      <c r="AV160" s="665">
        <f t="shared" si="53"/>
        <v>0</v>
      </c>
      <c r="AW160" s="687">
        <f t="shared" si="49"/>
        <v>-1</v>
      </c>
      <c r="AX160" s="663">
        <f t="shared" si="50"/>
        <v>0</v>
      </c>
      <c r="AY160" s="687">
        <v>0</v>
      </c>
      <c r="AZ160" s="687"/>
      <c r="BA160" s="687"/>
      <c r="BB160" s="700"/>
      <c r="BC160" s="688">
        <f t="shared" si="51"/>
        <v>0.12328767123287671</v>
      </c>
    </row>
    <row r="161" spans="1:55" x14ac:dyDescent="0.25">
      <c r="C161" s="662" t="s">
        <v>961</v>
      </c>
      <c r="D161" s="663" t="s">
        <v>945</v>
      </c>
      <c r="E161" s="662">
        <v>2</v>
      </c>
      <c r="F161" s="662">
        <v>4</v>
      </c>
      <c r="G161" s="662">
        <v>1</v>
      </c>
      <c r="H161" s="662">
        <v>4</v>
      </c>
      <c r="I161" s="662">
        <v>1</v>
      </c>
      <c r="J161" s="662">
        <v>1</v>
      </c>
      <c r="K161" s="662">
        <v>1</v>
      </c>
      <c r="L161" s="662">
        <v>4</v>
      </c>
      <c r="M161" s="662">
        <v>2</v>
      </c>
      <c r="N161" s="662">
        <v>3</v>
      </c>
      <c r="O161" s="662">
        <v>6</v>
      </c>
      <c r="Q161" s="681">
        <f t="shared" si="47"/>
        <v>29</v>
      </c>
      <c r="R161" s="699"/>
      <c r="W161" s="683">
        <v>0</v>
      </c>
      <c r="X161" s="683">
        <v>0</v>
      </c>
      <c r="Y161" s="683">
        <v>0</v>
      </c>
      <c r="Z161" s="683">
        <v>0</v>
      </c>
      <c r="AA161" s="683">
        <v>0</v>
      </c>
      <c r="AB161" s="683">
        <v>0</v>
      </c>
      <c r="AC161" s="683">
        <v>0</v>
      </c>
      <c r="AD161" s="683">
        <v>0</v>
      </c>
      <c r="AE161" s="684">
        <f t="shared" si="56"/>
        <v>0</v>
      </c>
      <c r="AF161" s="700"/>
      <c r="AG161" s="683">
        <v>0</v>
      </c>
      <c r="AH161" s="683">
        <v>0</v>
      </c>
      <c r="AI161" s="683">
        <v>0</v>
      </c>
      <c r="AJ161" s="683">
        <v>0</v>
      </c>
      <c r="AK161" s="683">
        <v>0</v>
      </c>
      <c r="AL161" s="683">
        <v>0</v>
      </c>
      <c r="AM161" s="683">
        <v>0</v>
      </c>
      <c r="AN161" s="683">
        <v>0</v>
      </c>
      <c r="AO161" s="683">
        <v>0</v>
      </c>
      <c r="AP161" s="683">
        <v>0</v>
      </c>
      <c r="AQ161" s="683">
        <v>0</v>
      </c>
      <c r="AR161" s="683">
        <v>0</v>
      </c>
      <c r="AS161" s="685">
        <f t="shared" si="63"/>
        <v>0</v>
      </c>
      <c r="AT161" s="700"/>
      <c r="AU161" s="686">
        <f t="shared" si="48"/>
        <v>29</v>
      </c>
      <c r="AV161" s="665">
        <f t="shared" si="53"/>
        <v>0</v>
      </c>
      <c r="AW161" s="687">
        <f t="shared" si="49"/>
        <v>-1</v>
      </c>
      <c r="AX161" s="663">
        <f t="shared" si="50"/>
        <v>0</v>
      </c>
      <c r="AY161" s="687">
        <v>0</v>
      </c>
      <c r="AZ161" s="687"/>
      <c r="BA161" s="687"/>
      <c r="BB161" s="700"/>
      <c r="BC161" s="688">
        <f t="shared" si="51"/>
        <v>4.9315068493150684E-2</v>
      </c>
    </row>
    <row r="162" spans="1:55" x14ac:dyDescent="0.25">
      <c r="B162" s="662" t="s">
        <v>1052</v>
      </c>
      <c r="C162" s="662" t="s">
        <v>939</v>
      </c>
      <c r="D162" s="663" t="s">
        <v>1050</v>
      </c>
      <c r="E162" s="662">
        <v>5</v>
      </c>
      <c r="F162" s="662">
        <v>4</v>
      </c>
      <c r="G162" s="662">
        <v>12</v>
      </c>
      <c r="H162" s="662">
        <v>5</v>
      </c>
      <c r="I162" s="662">
        <v>5</v>
      </c>
      <c r="J162" s="662">
        <v>2</v>
      </c>
      <c r="K162" s="662">
        <v>2</v>
      </c>
      <c r="L162" s="662">
        <v>5</v>
      </c>
      <c r="M162" s="662">
        <v>9</v>
      </c>
      <c r="N162" s="662">
        <v>9</v>
      </c>
      <c r="O162" s="662">
        <v>3</v>
      </c>
      <c r="P162" s="662">
        <v>3</v>
      </c>
      <c r="Q162" s="681">
        <f t="shared" si="47"/>
        <v>64</v>
      </c>
      <c r="R162" s="699"/>
      <c r="S162" s="662">
        <v>7</v>
      </c>
      <c r="T162" s="662">
        <v>8</v>
      </c>
      <c r="U162" s="662">
        <v>7</v>
      </c>
      <c r="V162" s="662">
        <v>6</v>
      </c>
      <c r="W162" s="663">
        <v>5</v>
      </c>
      <c r="X162" s="663">
        <v>2</v>
      </c>
      <c r="Y162" s="663">
        <v>2</v>
      </c>
      <c r="Z162" s="663">
        <v>5</v>
      </c>
      <c r="AA162" s="663">
        <v>9</v>
      </c>
      <c r="AB162" s="663">
        <v>9</v>
      </c>
      <c r="AC162" s="663">
        <v>3</v>
      </c>
      <c r="AD162" s="663">
        <v>3</v>
      </c>
      <c r="AE162" s="684">
        <f t="shared" si="56"/>
        <v>66</v>
      </c>
      <c r="AF162" s="700"/>
      <c r="AG162" s="700">
        <v>5</v>
      </c>
      <c r="AH162" s="700">
        <v>6</v>
      </c>
      <c r="AI162" s="700">
        <v>5</v>
      </c>
      <c r="AJ162" s="700">
        <v>6</v>
      </c>
      <c r="AK162" s="700">
        <v>5</v>
      </c>
      <c r="AL162" s="700">
        <v>6</v>
      </c>
      <c r="AM162" s="700">
        <v>5</v>
      </c>
      <c r="AN162" s="700">
        <v>6</v>
      </c>
      <c r="AO162" s="700">
        <v>5</v>
      </c>
      <c r="AP162" s="700">
        <v>6</v>
      </c>
      <c r="AQ162" s="700">
        <v>5</v>
      </c>
      <c r="AR162" s="700">
        <v>6</v>
      </c>
      <c r="AS162" s="685">
        <f t="shared" si="63"/>
        <v>66</v>
      </c>
      <c r="AT162" s="700"/>
      <c r="AU162" s="686">
        <f t="shared" si="48"/>
        <v>64</v>
      </c>
      <c r="AV162" s="665">
        <f t="shared" si="53"/>
        <v>66</v>
      </c>
      <c r="AW162" s="687">
        <f t="shared" si="49"/>
        <v>3.125E-2</v>
      </c>
      <c r="AX162" s="663">
        <f t="shared" si="50"/>
        <v>66</v>
      </c>
      <c r="AY162" s="687">
        <f t="shared" si="52"/>
        <v>0</v>
      </c>
      <c r="AZ162" s="687"/>
      <c r="BA162" s="687"/>
      <c r="BB162" s="700"/>
      <c r="BC162" s="688">
        <f t="shared" si="51"/>
        <v>0.18082191780821918</v>
      </c>
    </row>
    <row r="163" spans="1:55" x14ac:dyDescent="0.25">
      <c r="C163" s="662" t="s">
        <v>961</v>
      </c>
      <c r="D163" s="663" t="s">
        <v>1050</v>
      </c>
      <c r="E163" s="662">
        <v>5</v>
      </c>
      <c r="F163" s="662">
        <v>3</v>
      </c>
      <c r="G163" s="662">
        <v>3</v>
      </c>
      <c r="H163" s="662">
        <v>1</v>
      </c>
      <c r="K163" s="662">
        <v>1</v>
      </c>
      <c r="L163" s="662">
        <v>2</v>
      </c>
      <c r="M163" s="662">
        <v>3</v>
      </c>
      <c r="N163" s="662">
        <v>2</v>
      </c>
      <c r="O163" s="662">
        <v>1</v>
      </c>
      <c r="P163" s="662">
        <v>1</v>
      </c>
      <c r="Q163" s="681">
        <f t="shared" si="47"/>
        <v>22</v>
      </c>
      <c r="R163" s="699"/>
      <c r="S163" s="662">
        <v>7</v>
      </c>
      <c r="T163" s="662">
        <v>1</v>
      </c>
      <c r="U163" s="662">
        <v>3</v>
      </c>
      <c r="W163" s="683">
        <v>0</v>
      </c>
      <c r="X163" s="683">
        <v>0</v>
      </c>
      <c r="Y163" s="663">
        <v>1</v>
      </c>
      <c r="Z163" s="663">
        <v>2</v>
      </c>
      <c r="AA163" s="663">
        <v>3</v>
      </c>
      <c r="AB163" s="663">
        <v>2</v>
      </c>
      <c r="AC163" s="663">
        <v>1</v>
      </c>
      <c r="AD163" s="663">
        <v>1</v>
      </c>
      <c r="AE163" s="684">
        <f t="shared" si="56"/>
        <v>21</v>
      </c>
      <c r="AF163" s="700"/>
      <c r="AG163" s="700">
        <v>2</v>
      </c>
      <c r="AH163" s="700">
        <v>2</v>
      </c>
      <c r="AI163" s="700">
        <v>2</v>
      </c>
      <c r="AJ163" s="700">
        <v>2</v>
      </c>
      <c r="AK163" s="700">
        <v>1</v>
      </c>
      <c r="AL163" s="700">
        <v>1</v>
      </c>
      <c r="AM163" s="700">
        <v>1</v>
      </c>
      <c r="AN163" s="700">
        <v>2</v>
      </c>
      <c r="AO163" s="700">
        <v>2</v>
      </c>
      <c r="AP163" s="700">
        <v>2</v>
      </c>
      <c r="AQ163" s="700">
        <v>2</v>
      </c>
      <c r="AR163" s="700">
        <v>2</v>
      </c>
      <c r="AS163" s="685">
        <f t="shared" si="63"/>
        <v>21</v>
      </c>
      <c r="AT163" s="700"/>
      <c r="AU163" s="686">
        <f t="shared" si="48"/>
        <v>22</v>
      </c>
      <c r="AV163" s="665">
        <f t="shared" si="53"/>
        <v>21</v>
      </c>
      <c r="AW163" s="687">
        <f t="shared" si="49"/>
        <v>-4.5454545454545414E-2</v>
      </c>
      <c r="AX163" s="663">
        <f t="shared" si="50"/>
        <v>21</v>
      </c>
      <c r="AY163" s="687">
        <f t="shared" si="52"/>
        <v>0</v>
      </c>
      <c r="AZ163" s="687"/>
      <c r="BA163" s="687"/>
      <c r="BB163" s="700"/>
      <c r="BC163" s="688">
        <f t="shared" si="51"/>
        <v>5.7534246575342465E-2</v>
      </c>
    </row>
    <row r="164" spans="1:55" x14ac:dyDescent="0.25">
      <c r="B164" s="662" t="s">
        <v>1053</v>
      </c>
      <c r="C164" s="662" t="s">
        <v>939</v>
      </c>
      <c r="D164" s="663" t="s">
        <v>1050</v>
      </c>
      <c r="E164" s="662">
        <v>12</v>
      </c>
      <c r="F164" s="662">
        <v>7</v>
      </c>
      <c r="G164" s="662">
        <v>3</v>
      </c>
      <c r="H164" s="662">
        <v>3</v>
      </c>
      <c r="I164" s="662">
        <v>6</v>
      </c>
      <c r="J164" s="662">
        <v>7</v>
      </c>
      <c r="K164" s="662">
        <v>9</v>
      </c>
      <c r="L164" s="662">
        <v>7</v>
      </c>
      <c r="M164" s="662">
        <v>2</v>
      </c>
      <c r="O164" s="662">
        <v>3</v>
      </c>
      <c r="P164" s="662">
        <v>10</v>
      </c>
      <c r="Q164" s="681">
        <f t="shared" si="47"/>
        <v>69</v>
      </c>
      <c r="R164" s="699"/>
      <c r="S164" s="662">
        <v>13</v>
      </c>
      <c r="T164" s="662">
        <v>14</v>
      </c>
      <c r="U164" s="662">
        <v>5</v>
      </c>
      <c r="V164" s="662">
        <v>10</v>
      </c>
      <c r="W164" s="663">
        <v>6</v>
      </c>
      <c r="X164" s="663">
        <v>7</v>
      </c>
      <c r="Y164" s="663">
        <v>9</v>
      </c>
      <c r="Z164" s="663">
        <v>7</v>
      </c>
      <c r="AA164" s="663">
        <v>2</v>
      </c>
      <c r="AB164" s="683">
        <v>0</v>
      </c>
      <c r="AC164" s="663">
        <v>3</v>
      </c>
      <c r="AD164" s="663">
        <v>10</v>
      </c>
      <c r="AE164" s="684">
        <f t="shared" si="56"/>
        <v>86</v>
      </c>
      <c r="AF164" s="700"/>
      <c r="AG164" s="700">
        <v>8</v>
      </c>
      <c r="AH164" s="700">
        <v>7</v>
      </c>
      <c r="AI164" s="700">
        <v>8</v>
      </c>
      <c r="AJ164" s="700">
        <v>7</v>
      </c>
      <c r="AK164" s="700">
        <v>8</v>
      </c>
      <c r="AL164" s="700">
        <v>8</v>
      </c>
      <c r="AM164" s="700">
        <v>7</v>
      </c>
      <c r="AN164" s="700">
        <v>8</v>
      </c>
      <c r="AO164" s="700">
        <v>8</v>
      </c>
      <c r="AP164" s="700">
        <v>7</v>
      </c>
      <c r="AQ164" s="700">
        <v>7</v>
      </c>
      <c r="AR164" s="700">
        <v>7</v>
      </c>
      <c r="AS164" s="685">
        <f t="shared" si="63"/>
        <v>90</v>
      </c>
      <c r="AT164" s="700"/>
      <c r="AU164" s="686">
        <f t="shared" si="48"/>
        <v>69</v>
      </c>
      <c r="AV164" s="665">
        <f t="shared" si="53"/>
        <v>86</v>
      </c>
      <c r="AW164" s="687">
        <f t="shared" si="49"/>
        <v>0.24637681159420288</v>
      </c>
      <c r="AX164" s="663">
        <f t="shared" si="50"/>
        <v>90</v>
      </c>
      <c r="AY164" s="687">
        <f t="shared" si="52"/>
        <v>4.6511627906976827E-2</v>
      </c>
      <c r="AZ164" s="687"/>
      <c r="BA164" s="687"/>
      <c r="BB164" s="700"/>
      <c r="BC164" s="688">
        <f t="shared" si="51"/>
        <v>0.23561643835616439</v>
      </c>
    </row>
    <row r="165" spans="1:55" x14ac:dyDescent="0.25">
      <c r="C165" s="662" t="s">
        <v>961</v>
      </c>
      <c r="D165" s="663" t="s">
        <v>1050</v>
      </c>
      <c r="E165" s="662">
        <v>6</v>
      </c>
      <c r="F165" s="662">
        <v>3</v>
      </c>
      <c r="G165" s="662">
        <v>1</v>
      </c>
      <c r="H165" s="662">
        <v>1</v>
      </c>
      <c r="K165" s="662">
        <v>3</v>
      </c>
      <c r="M165" s="662">
        <v>1</v>
      </c>
      <c r="O165" s="662">
        <v>3</v>
      </c>
      <c r="P165" s="662">
        <v>2</v>
      </c>
      <c r="Q165" s="681">
        <f t="shared" si="47"/>
        <v>20</v>
      </c>
      <c r="R165" s="699"/>
      <c r="S165" s="662">
        <v>2</v>
      </c>
      <c r="T165" s="662">
        <v>2</v>
      </c>
      <c r="V165" s="662">
        <v>3</v>
      </c>
      <c r="W165" s="683">
        <v>0</v>
      </c>
      <c r="X165" s="683">
        <v>0</v>
      </c>
      <c r="Y165" s="663">
        <v>3</v>
      </c>
      <c r="Z165" s="683">
        <v>0</v>
      </c>
      <c r="AA165" s="663">
        <v>1</v>
      </c>
      <c r="AB165" s="683">
        <v>0</v>
      </c>
      <c r="AC165" s="663">
        <v>3</v>
      </c>
      <c r="AD165" s="663">
        <v>2</v>
      </c>
      <c r="AE165" s="684">
        <f t="shared" si="56"/>
        <v>16</v>
      </c>
      <c r="AF165" s="700"/>
      <c r="AG165" s="700">
        <v>1</v>
      </c>
      <c r="AH165" s="700">
        <v>2</v>
      </c>
      <c r="AI165" s="700">
        <v>1</v>
      </c>
      <c r="AJ165" s="700">
        <v>2</v>
      </c>
      <c r="AK165" s="700">
        <v>1</v>
      </c>
      <c r="AL165" s="700">
        <v>2</v>
      </c>
      <c r="AM165" s="700">
        <v>1</v>
      </c>
      <c r="AN165" s="700">
        <v>1</v>
      </c>
      <c r="AO165" s="700">
        <v>1</v>
      </c>
      <c r="AP165" s="700">
        <v>2</v>
      </c>
      <c r="AQ165" s="700">
        <v>1</v>
      </c>
      <c r="AR165" s="700">
        <v>2</v>
      </c>
      <c r="AS165" s="685">
        <f t="shared" si="63"/>
        <v>17</v>
      </c>
      <c r="AT165" s="700"/>
      <c r="AU165" s="686">
        <f t="shared" si="48"/>
        <v>20</v>
      </c>
      <c r="AV165" s="665">
        <f t="shared" si="53"/>
        <v>16</v>
      </c>
      <c r="AW165" s="687">
        <f t="shared" si="49"/>
        <v>-0.19999999999999996</v>
      </c>
      <c r="AX165" s="663">
        <f t="shared" si="50"/>
        <v>17</v>
      </c>
      <c r="AY165" s="687">
        <f t="shared" si="52"/>
        <v>6.25E-2</v>
      </c>
      <c r="AZ165" s="687"/>
      <c r="BA165" s="687"/>
      <c r="BB165" s="700"/>
      <c r="BC165" s="688">
        <f t="shared" si="51"/>
        <v>4.3835616438356165E-2</v>
      </c>
    </row>
    <row r="166" spans="1:55" x14ac:dyDescent="0.25">
      <c r="A166" s="693" t="s">
        <v>1054</v>
      </c>
      <c r="B166" s="693"/>
      <c r="C166" s="693"/>
      <c r="D166" s="694"/>
      <c r="E166" s="693">
        <v>36</v>
      </c>
      <c r="F166" s="693">
        <v>40</v>
      </c>
      <c r="G166" s="693">
        <v>40</v>
      </c>
      <c r="H166" s="693">
        <v>25</v>
      </c>
      <c r="I166" s="693">
        <v>24</v>
      </c>
      <c r="J166" s="693">
        <v>22</v>
      </c>
      <c r="K166" s="693">
        <v>29</v>
      </c>
      <c r="L166" s="693">
        <v>29</v>
      </c>
      <c r="M166" s="693">
        <v>28</v>
      </c>
      <c r="N166" s="693">
        <v>22</v>
      </c>
      <c r="O166" s="693">
        <v>25</v>
      </c>
      <c r="P166" s="693">
        <v>25</v>
      </c>
      <c r="Q166" s="695">
        <f t="shared" si="47"/>
        <v>345</v>
      </c>
      <c r="R166" s="695"/>
      <c r="S166" s="693">
        <v>35</v>
      </c>
      <c r="T166" s="693">
        <v>26</v>
      </c>
      <c r="U166" s="693">
        <v>22</v>
      </c>
      <c r="V166" s="693">
        <v>28</v>
      </c>
      <c r="W166" s="696">
        <f>SUM(W157:W165)</f>
        <v>14</v>
      </c>
      <c r="X166" s="696">
        <f t="shared" ref="X166:AD166" si="64">SUM(X157:X165)</f>
        <v>15</v>
      </c>
      <c r="Y166" s="696">
        <f t="shared" si="64"/>
        <v>24</v>
      </c>
      <c r="Z166" s="696">
        <f t="shared" si="64"/>
        <v>20</v>
      </c>
      <c r="AA166" s="696">
        <f t="shared" si="64"/>
        <v>18</v>
      </c>
      <c r="AB166" s="696">
        <f t="shared" si="64"/>
        <v>15</v>
      </c>
      <c r="AC166" s="696">
        <f t="shared" si="64"/>
        <v>13</v>
      </c>
      <c r="AD166" s="696">
        <f t="shared" si="64"/>
        <v>22</v>
      </c>
      <c r="AE166" s="697">
        <f t="shared" si="56"/>
        <v>252</v>
      </c>
      <c r="AF166" s="694"/>
      <c r="AG166" s="694">
        <f t="shared" ref="AG166:AR166" si="65">SUM(AG157:AG165)</f>
        <v>22</v>
      </c>
      <c r="AH166" s="694">
        <f t="shared" si="65"/>
        <v>23</v>
      </c>
      <c r="AI166" s="694">
        <f t="shared" si="65"/>
        <v>22</v>
      </c>
      <c r="AJ166" s="694">
        <f t="shared" si="65"/>
        <v>23</v>
      </c>
      <c r="AK166" s="694">
        <f t="shared" si="65"/>
        <v>19</v>
      </c>
      <c r="AL166" s="694">
        <f t="shared" si="65"/>
        <v>21</v>
      </c>
      <c r="AM166" s="694">
        <f t="shared" si="65"/>
        <v>19</v>
      </c>
      <c r="AN166" s="694">
        <f t="shared" si="65"/>
        <v>23</v>
      </c>
      <c r="AO166" s="694">
        <f t="shared" si="65"/>
        <v>22</v>
      </c>
      <c r="AP166" s="694">
        <f t="shared" si="65"/>
        <v>23</v>
      </c>
      <c r="AQ166" s="694">
        <f t="shared" si="65"/>
        <v>21</v>
      </c>
      <c r="AR166" s="694">
        <f t="shared" si="65"/>
        <v>23</v>
      </c>
      <c r="AS166" s="694">
        <f>SUM(AS157:AS165)</f>
        <v>261</v>
      </c>
      <c r="AT166" s="694"/>
      <c r="AU166" s="697">
        <f t="shared" si="48"/>
        <v>345</v>
      </c>
      <c r="AV166" s="697">
        <f t="shared" si="53"/>
        <v>252</v>
      </c>
      <c r="AW166" s="698">
        <f t="shared" si="49"/>
        <v>-0.26956521739130435</v>
      </c>
      <c r="AX166" s="694">
        <f t="shared" si="50"/>
        <v>261</v>
      </c>
      <c r="AY166" s="698">
        <f t="shared" si="52"/>
        <v>3.5714285714285809E-2</v>
      </c>
      <c r="AZ166" s="698"/>
      <c r="BA166" s="698"/>
      <c r="BB166" s="700"/>
      <c r="BC166" s="688">
        <f t="shared" si="51"/>
        <v>0.86301369863013699</v>
      </c>
    </row>
    <row r="167" spans="1:55" x14ac:dyDescent="0.25">
      <c r="A167" s="664" t="s">
        <v>1055</v>
      </c>
      <c r="B167" s="662" t="s">
        <v>1056</v>
      </c>
      <c r="C167" s="662" t="s">
        <v>932</v>
      </c>
      <c r="D167" s="663"/>
      <c r="H167" s="662">
        <v>1</v>
      </c>
      <c r="K167" s="662">
        <v>1</v>
      </c>
      <c r="L167" s="662">
        <v>1</v>
      </c>
      <c r="M167" s="662">
        <v>2</v>
      </c>
      <c r="O167" s="662">
        <v>1</v>
      </c>
      <c r="Q167" s="681">
        <f t="shared" si="47"/>
        <v>6</v>
      </c>
      <c r="R167" s="691"/>
      <c r="T167" s="662">
        <v>1</v>
      </c>
      <c r="U167" s="662">
        <v>1</v>
      </c>
      <c r="W167" s="683">
        <v>0</v>
      </c>
      <c r="X167" s="683">
        <v>1</v>
      </c>
      <c r="Y167" s="683">
        <v>0</v>
      </c>
      <c r="Z167" s="683">
        <v>0</v>
      </c>
      <c r="AA167" s="683">
        <v>1</v>
      </c>
      <c r="AB167" s="683">
        <v>1</v>
      </c>
      <c r="AC167" s="683">
        <v>1</v>
      </c>
      <c r="AD167" s="683">
        <v>0</v>
      </c>
      <c r="AE167" s="684">
        <f t="shared" si="56"/>
        <v>6</v>
      </c>
      <c r="AG167" s="692">
        <v>1</v>
      </c>
      <c r="AH167" s="683">
        <v>0</v>
      </c>
      <c r="AI167" s="692">
        <v>1</v>
      </c>
      <c r="AJ167" s="683">
        <v>0</v>
      </c>
      <c r="AK167" s="692">
        <v>1</v>
      </c>
      <c r="AL167" s="683">
        <v>0</v>
      </c>
      <c r="AM167" s="692">
        <v>1</v>
      </c>
      <c r="AN167" s="683">
        <v>0</v>
      </c>
      <c r="AO167" s="692">
        <v>1</v>
      </c>
      <c r="AP167" s="683">
        <v>0</v>
      </c>
      <c r="AQ167" s="692">
        <v>1</v>
      </c>
      <c r="AR167" s="683">
        <v>0</v>
      </c>
      <c r="AS167" s="685">
        <f t="shared" si="63"/>
        <v>6</v>
      </c>
      <c r="AU167" s="686">
        <f t="shared" si="48"/>
        <v>6</v>
      </c>
      <c r="AV167" s="665">
        <f t="shared" si="53"/>
        <v>6</v>
      </c>
      <c r="AW167" s="687">
        <f t="shared" si="49"/>
        <v>0</v>
      </c>
      <c r="AX167" s="663">
        <f t="shared" si="50"/>
        <v>6</v>
      </c>
      <c r="AY167" s="687">
        <f t="shared" si="52"/>
        <v>0</v>
      </c>
      <c r="AZ167" s="687"/>
      <c r="BA167" s="687"/>
      <c r="BC167" s="688">
        <f t="shared" si="51"/>
        <v>1.9178082191780823E-2</v>
      </c>
    </row>
    <row r="168" spans="1:55" x14ac:dyDescent="0.25">
      <c r="B168" s="662" t="s">
        <v>1057</v>
      </c>
      <c r="C168" s="662" t="s">
        <v>961</v>
      </c>
      <c r="D168" s="663"/>
      <c r="F168" s="662">
        <v>1</v>
      </c>
      <c r="I168" s="662">
        <v>1</v>
      </c>
      <c r="K168" s="662">
        <v>1</v>
      </c>
      <c r="L168" s="662">
        <v>1</v>
      </c>
      <c r="O168" s="662">
        <v>3</v>
      </c>
      <c r="Q168" s="681">
        <f t="shared" si="47"/>
        <v>7</v>
      </c>
      <c r="R168" s="691"/>
      <c r="S168" s="662">
        <v>1</v>
      </c>
      <c r="V168" s="662">
        <v>1</v>
      </c>
      <c r="W168" s="683">
        <v>0</v>
      </c>
      <c r="X168" s="683">
        <v>0</v>
      </c>
      <c r="Y168" s="683">
        <v>1</v>
      </c>
      <c r="Z168" s="683">
        <v>1</v>
      </c>
      <c r="AA168" s="683">
        <v>1</v>
      </c>
      <c r="AB168" s="683">
        <v>1</v>
      </c>
      <c r="AC168" s="683">
        <v>0</v>
      </c>
      <c r="AD168" s="683">
        <v>1</v>
      </c>
      <c r="AE168" s="684">
        <f t="shared" si="56"/>
        <v>7</v>
      </c>
      <c r="AG168" s="692">
        <v>1</v>
      </c>
      <c r="AH168" s="683">
        <v>0</v>
      </c>
      <c r="AI168" s="692">
        <v>1</v>
      </c>
      <c r="AJ168" s="692"/>
      <c r="AK168" s="692">
        <v>1</v>
      </c>
      <c r="AL168" s="692">
        <v>1</v>
      </c>
      <c r="AM168" s="692">
        <v>1</v>
      </c>
      <c r="AN168" s="683">
        <v>0</v>
      </c>
      <c r="AO168" s="692">
        <v>1</v>
      </c>
      <c r="AP168" s="683">
        <v>0</v>
      </c>
      <c r="AQ168" s="692">
        <v>1</v>
      </c>
      <c r="AR168" s="683">
        <v>0</v>
      </c>
      <c r="AS168" s="685">
        <f t="shared" si="63"/>
        <v>7</v>
      </c>
      <c r="AU168" s="686">
        <f t="shared" si="48"/>
        <v>7</v>
      </c>
      <c r="AV168" s="665">
        <f t="shared" si="53"/>
        <v>7</v>
      </c>
      <c r="AW168" s="687">
        <f t="shared" si="49"/>
        <v>0</v>
      </c>
      <c r="AX168" s="663">
        <f t="shared" si="50"/>
        <v>7</v>
      </c>
      <c r="AY168" s="687">
        <f t="shared" si="52"/>
        <v>0</v>
      </c>
      <c r="AZ168" s="687"/>
      <c r="BA168" s="687"/>
      <c r="BC168" s="688">
        <f t="shared" si="51"/>
        <v>2.1917808219178082E-2</v>
      </c>
    </row>
    <row r="169" spans="1:55" x14ac:dyDescent="0.25">
      <c r="B169" s="662" t="s">
        <v>1058</v>
      </c>
      <c r="C169" s="662" t="s">
        <v>1059</v>
      </c>
      <c r="D169" s="663"/>
      <c r="L169" s="662">
        <v>1</v>
      </c>
      <c r="Q169" s="681">
        <f t="shared" si="47"/>
        <v>1</v>
      </c>
      <c r="R169" s="691"/>
      <c r="Z169" s="663">
        <v>1</v>
      </c>
      <c r="AE169" s="684">
        <f t="shared" si="56"/>
        <v>1</v>
      </c>
      <c r="AG169" s="683">
        <v>0</v>
      </c>
      <c r="AH169" s="683">
        <v>0</v>
      </c>
      <c r="AI169" s="683">
        <v>0</v>
      </c>
      <c r="AJ169" s="683">
        <v>0</v>
      </c>
      <c r="AK169" s="683">
        <v>0</v>
      </c>
      <c r="AL169" s="683">
        <v>0</v>
      </c>
      <c r="AM169" s="683">
        <v>0</v>
      </c>
      <c r="AN169" s="683">
        <v>0</v>
      </c>
      <c r="AO169" s="683">
        <v>0</v>
      </c>
      <c r="AP169" s="683">
        <v>0</v>
      </c>
      <c r="AQ169" s="683">
        <v>0</v>
      </c>
      <c r="AR169" s="683">
        <v>0</v>
      </c>
      <c r="AS169" s="685">
        <f t="shared" si="63"/>
        <v>0</v>
      </c>
      <c r="AU169" s="686">
        <f t="shared" si="48"/>
        <v>1</v>
      </c>
      <c r="AV169" s="665">
        <f t="shared" si="53"/>
        <v>1</v>
      </c>
      <c r="AW169" s="687">
        <f t="shared" si="49"/>
        <v>0</v>
      </c>
      <c r="AX169" s="663">
        <f t="shared" si="50"/>
        <v>0</v>
      </c>
      <c r="AY169" s="687">
        <f t="shared" si="52"/>
        <v>-1</v>
      </c>
      <c r="AZ169" s="687"/>
      <c r="BA169" s="687"/>
      <c r="BC169" s="688">
        <f t="shared" si="51"/>
        <v>2.7397260273972603E-3</v>
      </c>
    </row>
    <row r="170" spans="1:55" x14ac:dyDescent="0.25">
      <c r="B170" s="662" t="s">
        <v>1060</v>
      </c>
      <c r="C170" s="662" t="s">
        <v>932</v>
      </c>
      <c r="D170" s="663"/>
      <c r="K170" s="662">
        <v>1</v>
      </c>
      <c r="Q170" s="681">
        <f t="shared" si="47"/>
        <v>1</v>
      </c>
      <c r="R170" s="691"/>
      <c r="Y170" s="663">
        <v>1</v>
      </c>
      <c r="AE170" s="684">
        <f t="shared" si="56"/>
        <v>1</v>
      </c>
      <c r="AG170" s="683">
        <v>0</v>
      </c>
      <c r="AH170" s="683">
        <v>0</v>
      </c>
      <c r="AI170" s="683">
        <v>0</v>
      </c>
      <c r="AJ170" s="683">
        <v>0</v>
      </c>
      <c r="AK170" s="683">
        <v>0</v>
      </c>
      <c r="AL170" s="683">
        <v>0</v>
      </c>
      <c r="AM170" s="683">
        <v>0</v>
      </c>
      <c r="AN170" s="683">
        <v>0</v>
      </c>
      <c r="AO170" s="683">
        <v>0</v>
      </c>
      <c r="AP170" s="683">
        <v>0</v>
      </c>
      <c r="AQ170" s="683">
        <v>0</v>
      </c>
      <c r="AR170" s="683">
        <v>0</v>
      </c>
      <c r="AS170" s="685">
        <f t="shared" si="63"/>
        <v>0</v>
      </c>
      <c r="AU170" s="686">
        <f t="shared" si="48"/>
        <v>1</v>
      </c>
      <c r="AV170" s="665">
        <f t="shared" si="53"/>
        <v>1</v>
      </c>
      <c r="AW170" s="687">
        <f t="shared" si="49"/>
        <v>0</v>
      </c>
      <c r="AX170" s="663">
        <f t="shared" si="50"/>
        <v>0</v>
      </c>
      <c r="AY170" s="687">
        <f t="shared" si="52"/>
        <v>-1</v>
      </c>
      <c r="AZ170" s="687"/>
      <c r="BA170" s="687"/>
      <c r="BC170" s="688">
        <f t="shared" si="51"/>
        <v>2.7397260273972603E-3</v>
      </c>
    </row>
    <row r="171" spans="1:55" x14ac:dyDescent="0.25">
      <c r="B171" s="662" t="s">
        <v>1061</v>
      </c>
      <c r="C171" s="662" t="s">
        <v>932</v>
      </c>
      <c r="D171" s="663"/>
      <c r="I171" s="662">
        <v>1</v>
      </c>
      <c r="Q171" s="681">
        <f t="shared" si="47"/>
        <v>1</v>
      </c>
      <c r="R171" s="691"/>
      <c r="W171" s="663">
        <v>1</v>
      </c>
      <c r="AE171" s="684">
        <f t="shared" si="56"/>
        <v>1</v>
      </c>
      <c r="AG171" s="683">
        <v>0</v>
      </c>
      <c r="AH171" s="683">
        <v>0</v>
      </c>
      <c r="AI171" s="683">
        <v>0</v>
      </c>
      <c r="AJ171" s="683">
        <v>0</v>
      </c>
      <c r="AK171" s="683">
        <v>0</v>
      </c>
      <c r="AL171" s="683">
        <v>0</v>
      </c>
      <c r="AM171" s="683">
        <v>0</v>
      </c>
      <c r="AN171" s="683">
        <v>0</v>
      </c>
      <c r="AO171" s="683">
        <v>0</v>
      </c>
      <c r="AP171" s="683">
        <v>0</v>
      </c>
      <c r="AQ171" s="683">
        <v>0</v>
      </c>
      <c r="AR171" s="683">
        <v>0</v>
      </c>
      <c r="AS171" s="685">
        <f t="shared" si="63"/>
        <v>0</v>
      </c>
      <c r="AU171" s="686">
        <f t="shared" si="48"/>
        <v>1</v>
      </c>
      <c r="AV171" s="665">
        <f t="shared" si="53"/>
        <v>1</v>
      </c>
      <c r="AW171" s="687">
        <f t="shared" si="49"/>
        <v>0</v>
      </c>
      <c r="AX171" s="663">
        <f t="shared" si="50"/>
        <v>0</v>
      </c>
      <c r="AY171" s="687">
        <f t="shared" si="52"/>
        <v>-1</v>
      </c>
      <c r="AZ171" s="687"/>
      <c r="BA171" s="687"/>
      <c r="BC171" s="688">
        <f t="shared" si="51"/>
        <v>2.7397260273972603E-3</v>
      </c>
    </row>
    <row r="172" spans="1:55" x14ac:dyDescent="0.25">
      <c r="B172" s="662" t="s">
        <v>1062</v>
      </c>
      <c r="C172" s="662" t="s">
        <v>932</v>
      </c>
      <c r="D172" s="663"/>
      <c r="F172" s="662">
        <v>1</v>
      </c>
      <c r="I172" s="662">
        <v>1</v>
      </c>
      <c r="M172" s="662">
        <v>2</v>
      </c>
      <c r="Q172" s="681">
        <f t="shared" si="47"/>
        <v>4</v>
      </c>
      <c r="R172" s="691"/>
      <c r="V172" s="662">
        <v>1</v>
      </c>
      <c r="W172" s="663">
        <v>1</v>
      </c>
      <c r="AA172" s="663">
        <v>2</v>
      </c>
      <c r="AE172" s="684">
        <f t="shared" si="56"/>
        <v>4</v>
      </c>
      <c r="AG172" s="692">
        <v>1</v>
      </c>
      <c r="AH172" s="683">
        <v>0</v>
      </c>
      <c r="AI172" s="683">
        <v>0</v>
      </c>
      <c r="AJ172" s="683">
        <v>0</v>
      </c>
      <c r="AK172" s="663">
        <v>1</v>
      </c>
      <c r="AO172" s="663">
        <v>2</v>
      </c>
      <c r="AS172" s="685">
        <f t="shared" si="63"/>
        <v>4</v>
      </c>
      <c r="AU172" s="686">
        <f t="shared" si="48"/>
        <v>4</v>
      </c>
      <c r="AV172" s="665">
        <f t="shared" si="53"/>
        <v>4</v>
      </c>
      <c r="AW172" s="687">
        <f t="shared" si="49"/>
        <v>0</v>
      </c>
      <c r="AX172" s="663">
        <f t="shared" si="50"/>
        <v>4</v>
      </c>
      <c r="AY172" s="687">
        <f t="shared" si="52"/>
        <v>0</v>
      </c>
      <c r="AZ172" s="687"/>
      <c r="BA172" s="687"/>
      <c r="BC172" s="688">
        <f t="shared" si="51"/>
        <v>1.0958904109589041E-2</v>
      </c>
    </row>
    <row r="173" spans="1:55" x14ac:dyDescent="0.25">
      <c r="B173" s="662" t="s">
        <v>1063</v>
      </c>
      <c r="C173" s="662" t="s">
        <v>932</v>
      </c>
      <c r="D173" s="663"/>
      <c r="Q173" s="681">
        <f t="shared" si="47"/>
        <v>0</v>
      </c>
      <c r="R173" s="691"/>
      <c r="U173" s="662">
        <v>1</v>
      </c>
      <c r="AE173" s="684">
        <f t="shared" si="56"/>
        <v>1</v>
      </c>
      <c r="AG173" s="692">
        <v>1</v>
      </c>
      <c r="AH173" s="683">
        <v>0</v>
      </c>
      <c r="AI173" s="683">
        <v>0</v>
      </c>
      <c r="AJ173" s="683">
        <v>0</v>
      </c>
      <c r="AS173" s="685">
        <f t="shared" si="63"/>
        <v>1</v>
      </c>
      <c r="AU173" s="686">
        <f t="shared" si="48"/>
        <v>0</v>
      </c>
      <c r="AV173" s="665">
        <f t="shared" si="53"/>
        <v>1</v>
      </c>
      <c r="AW173" s="687" t="e">
        <f t="shared" si="49"/>
        <v>#DIV/0!</v>
      </c>
      <c r="AX173" s="663">
        <f t="shared" si="50"/>
        <v>1</v>
      </c>
      <c r="AY173" s="687">
        <f t="shared" si="52"/>
        <v>0</v>
      </c>
      <c r="AZ173" s="687"/>
      <c r="BA173" s="687"/>
      <c r="BC173" s="688">
        <f t="shared" si="51"/>
        <v>2.7397260273972603E-3</v>
      </c>
    </row>
    <row r="174" spans="1:55" x14ac:dyDescent="0.25">
      <c r="B174" s="662" t="s">
        <v>1064</v>
      </c>
      <c r="C174" s="662" t="s">
        <v>932</v>
      </c>
      <c r="D174" s="663"/>
      <c r="I174" s="662">
        <v>1</v>
      </c>
      <c r="J174" s="662">
        <v>1</v>
      </c>
      <c r="K174" s="662">
        <v>1</v>
      </c>
      <c r="Q174" s="681">
        <f t="shared" si="47"/>
        <v>3</v>
      </c>
      <c r="R174" s="691"/>
      <c r="T174" s="662">
        <v>1</v>
      </c>
      <c r="W174" s="663">
        <v>1</v>
      </c>
      <c r="X174" s="663">
        <v>1</v>
      </c>
      <c r="Y174" s="663">
        <v>1</v>
      </c>
      <c r="AE174" s="684">
        <f t="shared" si="56"/>
        <v>4</v>
      </c>
      <c r="AG174" s="692">
        <v>1</v>
      </c>
      <c r="AH174" s="683">
        <v>0</v>
      </c>
      <c r="AI174" s="683">
        <v>0</v>
      </c>
      <c r="AJ174" s="683">
        <v>0</v>
      </c>
      <c r="AK174" s="663">
        <v>1</v>
      </c>
      <c r="AL174" s="663">
        <v>1</v>
      </c>
      <c r="AM174" s="663">
        <v>1</v>
      </c>
      <c r="AS174" s="685">
        <f t="shared" si="63"/>
        <v>4</v>
      </c>
      <c r="AU174" s="686">
        <f t="shared" si="48"/>
        <v>3</v>
      </c>
      <c r="AV174" s="665">
        <f t="shared" si="53"/>
        <v>4</v>
      </c>
      <c r="AW174" s="687">
        <f t="shared" si="49"/>
        <v>0.33333333333333326</v>
      </c>
      <c r="AX174" s="663">
        <f t="shared" si="50"/>
        <v>4</v>
      </c>
      <c r="AY174" s="687">
        <f t="shared" si="52"/>
        <v>0</v>
      </c>
      <c r="AZ174" s="687"/>
      <c r="BA174" s="687"/>
      <c r="BC174" s="688">
        <f t="shared" si="51"/>
        <v>1.0958904109589041E-2</v>
      </c>
    </row>
    <row r="175" spans="1:55" x14ac:dyDescent="0.25">
      <c r="B175" s="662" t="s">
        <v>1065</v>
      </c>
      <c r="C175" s="662" t="s">
        <v>1059</v>
      </c>
      <c r="D175" s="663"/>
      <c r="H175" s="662">
        <v>1</v>
      </c>
      <c r="I175" s="662">
        <v>1</v>
      </c>
      <c r="L175" s="662">
        <v>2</v>
      </c>
      <c r="Q175" s="681">
        <f t="shared" si="47"/>
        <v>4</v>
      </c>
      <c r="R175" s="691"/>
      <c r="W175" s="663">
        <v>1</v>
      </c>
      <c r="Z175" s="663">
        <v>2</v>
      </c>
      <c r="AE175" s="684">
        <f t="shared" si="56"/>
        <v>3</v>
      </c>
      <c r="AG175" s="683">
        <v>0</v>
      </c>
      <c r="AH175" s="683">
        <v>0</v>
      </c>
      <c r="AI175" s="683">
        <v>0</v>
      </c>
      <c r="AJ175" s="683">
        <v>0</v>
      </c>
      <c r="AK175" s="663">
        <v>1</v>
      </c>
      <c r="AN175" s="663">
        <v>2</v>
      </c>
      <c r="AS175" s="685">
        <f t="shared" si="63"/>
        <v>3</v>
      </c>
      <c r="AU175" s="686">
        <f t="shared" si="48"/>
        <v>4</v>
      </c>
      <c r="AV175" s="665">
        <f t="shared" si="53"/>
        <v>3</v>
      </c>
      <c r="AW175" s="687">
        <f t="shared" si="49"/>
        <v>-0.25</v>
      </c>
      <c r="AX175" s="663">
        <f t="shared" si="50"/>
        <v>3</v>
      </c>
      <c r="AY175" s="687">
        <f t="shared" si="52"/>
        <v>0</v>
      </c>
      <c r="AZ175" s="687"/>
      <c r="BA175" s="687"/>
      <c r="BC175" s="688">
        <f t="shared" si="51"/>
        <v>8.21917808219178E-3</v>
      </c>
    </row>
    <row r="176" spans="1:55" x14ac:dyDescent="0.25">
      <c r="B176" s="662" t="s">
        <v>1066</v>
      </c>
      <c r="C176" s="662" t="s">
        <v>932</v>
      </c>
      <c r="D176" s="663"/>
      <c r="O176" s="662">
        <v>1</v>
      </c>
      <c r="Q176" s="681">
        <f t="shared" si="47"/>
        <v>1</v>
      </c>
      <c r="R176" s="691"/>
      <c r="AC176" s="663">
        <v>1</v>
      </c>
      <c r="AE176" s="684">
        <f t="shared" si="56"/>
        <v>1</v>
      </c>
      <c r="AG176" s="683">
        <v>0</v>
      </c>
      <c r="AH176" s="683">
        <v>0</v>
      </c>
      <c r="AI176" s="683">
        <v>0</v>
      </c>
      <c r="AJ176" s="683">
        <v>0</v>
      </c>
      <c r="AQ176" s="663">
        <v>1</v>
      </c>
      <c r="AS176" s="685">
        <f t="shared" si="63"/>
        <v>1</v>
      </c>
      <c r="AU176" s="686">
        <f t="shared" si="48"/>
        <v>1</v>
      </c>
      <c r="AV176" s="665">
        <f t="shared" si="53"/>
        <v>1</v>
      </c>
      <c r="AW176" s="687">
        <f t="shared" si="49"/>
        <v>0</v>
      </c>
      <c r="AX176" s="663">
        <f t="shared" si="50"/>
        <v>1</v>
      </c>
      <c r="AY176" s="687">
        <f t="shared" si="52"/>
        <v>0</v>
      </c>
      <c r="AZ176" s="687"/>
      <c r="BA176" s="687"/>
      <c r="BC176" s="688">
        <f t="shared" si="51"/>
        <v>2.7397260273972603E-3</v>
      </c>
    </row>
    <row r="177" spans="2:55" x14ac:dyDescent="0.25">
      <c r="B177" s="662" t="s">
        <v>1067</v>
      </c>
      <c r="C177" s="662" t="s">
        <v>932</v>
      </c>
      <c r="D177" s="663"/>
      <c r="G177" s="662">
        <v>1</v>
      </c>
      <c r="L177" s="662">
        <v>1</v>
      </c>
      <c r="M177" s="662">
        <v>1</v>
      </c>
      <c r="N177" s="662">
        <v>1</v>
      </c>
      <c r="Q177" s="681">
        <f t="shared" si="47"/>
        <v>4</v>
      </c>
      <c r="R177" s="691"/>
      <c r="V177" s="662">
        <v>1</v>
      </c>
      <c r="Z177" s="663">
        <v>1</v>
      </c>
      <c r="AA177" s="663">
        <v>1</v>
      </c>
      <c r="AB177" s="663">
        <v>1</v>
      </c>
      <c r="AE177" s="684">
        <f t="shared" si="56"/>
        <v>4</v>
      </c>
      <c r="AG177" s="692">
        <v>1</v>
      </c>
      <c r="AH177" s="683">
        <v>0</v>
      </c>
      <c r="AI177" s="683">
        <v>0</v>
      </c>
      <c r="AJ177" s="683">
        <v>0</v>
      </c>
      <c r="AN177" s="663">
        <v>1</v>
      </c>
      <c r="AO177" s="663">
        <v>1</v>
      </c>
      <c r="AP177" s="663">
        <v>1</v>
      </c>
      <c r="AS177" s="685">
        <f t="shared" si="63"/>
        <v>4</v>
      </c>
      <c r="AU177" s="686">
        <f t="shared" si="48"/>
        <v>4</v>
      </c>
      <c r="AV177" s="665">
        <f t="shared" si="53"/>
        <v>4</v>
      </c>
      <c r="AW177" s="687">
        <f t="shared" si="49"/>
        <v>0</v>
      </c>
      <c r="AX177" s="663">
        <f t="shared" si="50"/>
        <v>4</v>
      </c>
      <c r="AY177" s="687">
        <f t="shared" si="52"/>
        <v>0</v>
      </c>
      <c r="AZ177" s="687"/>
      <c r="BA177" s="687"/>
      <c r="BC177" s="688">
        <f t="shared" si="51"/>
        <v>1.0958904109589041E-2</v>
      </c>
    </row>
    <row r="178" spans="2:55" x14ac:dyDescent="0.25">
      <c r="B178" s="662" t="s">
        <v>1068</v>
      </c>
      <c r="C178" s="662" t="s">
        <v>932</v>
      </c>
      <c r="D178" s="663"/>
      <c r="H178" s="662">
        <v>1</v>
      </c>
      <c r="Q178" s="681">
        <f t="shared" si="47"/>
        <v>1</v>
      </c>
      <c r="R178" s="691"/>
      <c r="AE178" s="684">
        <f t="shared" si="56"/>
        <v>0</v>
      </c>
      <c r="AG178" s="683">
        <v>0</v>
      </c>
      <c r="AH178" s="683">
        <v>0</v>
      </c>
      <c r="AI178" s="683">
        <v>0</v>
      </c>
      <c r="AJ178" s="683">
        <v>0</v>
      </c>
      <c r="AS178" s="685">
        <f t="shared" si="63"/>
        <v>0</v>
      </c>
      <c r="AU178" s="686">
        <f t="shared" si="48"/>
        <v>1</v>
      </c>
      <c r="AV178" s="665">
        <f t="shared" si="53"/>
        <v>0</v>
      </c>
      <c r="AW178" s="687">
        <f t="shared" si="49"/>
        <v>-1</v>
      </c>
      <c r="AX178" s="663">
        <f t="shared" si="50"/>
        <v>0</v>
      </c>
      <c r="AY178" s="687">
        <v>0</v>
      </c>
      <c r="AZ178" s="687"/>
      <c r="BA178" s="687"/>
      <c r="BC178" s="688">
        <f t="shared" si="51"/>
        <v>0</v>
      </c>
    </row>
    <row r="179" spans="2:55" x14ac:dyDescent="0.25">
      <c r="B179" s="662" t="s">
        <v>1069</v>
      </c>
      <c r="C179" s="662" t="s">
        <v>932</v>
      </c>
      <c r="D179" s="663"/>
      <c r="E179" s="662">
        <v>1</v>
      </c>
      <c r="O179" s="662">
        <v>1</v>
      </c>
      <c r="Q179" s="681">
        <f t="shared" si="47"/>
        <v>2</v>
      </c>
      <c r="R179" s="691"/>
      <c r="U179" s="662">
        <v>1</v>
      </c>
      <c r="AC179" s="663">
        <v>1</v>
      </c>
      <c r="AE179" s="684">
        <f t="shared" si="56"/>
        <v>2</v>
      </c>
      <c r="AG179" s="692">
        <v>1</v>
      </c>
      <c r="AH179" s="683">
        <v>0</v>
      </c>
      <c r="AI179" s="683">
        <v>0</v>
      </c>
      <c r="AJ179" s="683">
        <v>0</v>
      </c>
      <c r="AQ179" s="663">
        <v>1</v>
      </c>
      <c r="AS179" s="685">
        <f t="shared" si="63"/>
        <v>2</v>
      </c>
      <c r="AU179" s="686">
        <f t="shared" si="48"/>
        <v>2</v>
      </c>
      <c r="AV179" s="665">
        <f t="shared" si="53"/>
        <v>2</v>
      </c>
      <c r="AW179" s="687">
        <f t="shared" si="49"/>
        <v>0</v>
      </c>
      <c r="AX179" s="663">
        <f t="shared" si="50"/>
        <v>2</v>
      </c>
      <c r="AY179" s="687">
        <f t="shared" si="52"/>
        <v>0</v>
      </c>
      <c r="AZ179" s="687"/>
      <c r="BA179" s="687"/>
      <c r="BC179" s="688">
        <f t="shared" si="51"/>
        <v>5.4794520547945206E-3</v>
      </c>
    </row>
    <row r="180" spans="2:55" x14ac:dyDescent="0.25">
      <c r="B180" s="662" t="s">
        <v>1070</v>
      </c>
      <c r="C180" s="662" t="s">
        <v>932</v>
      </c>
      <c r="D180" s="663"/>
      <c r="G180" s="662">
        <v>1</v>
      </c>
      <c r="Q180" s="681">
        <f t="shared" si="47"/>
        <v>1</v>
      </c>
      <c r="R180" s="691"/>
      <c r="AE180" s="684">
        <f t="shared" si="56"/>
        <v>0</v>
      </c>
      <c r="AG180" s="683">
        <v>0</v>
      </c>
      <c r="AH180" s="683">
        <v>0</v>
      </c>
      <c r="AI180" s="683">
        <v>0</v>
      </c>
      <c r="AJ180" s="683">
        <v>0</v>
      </c>
      <c r="AS180" s="685">
        <f t="shared" si="63"/>
        <v>0</v>
      </c>
      <c r="AU180" s="686">
        <f t="shared" si="48"/>
        <v>1</v>
      </c>
      <c r="AV180" s="665">
        <f t="shared" si="53"/>
        <v>0</v>
      </c>
      <c r="AW180" s="687">
        <f t="shared" si="49"/>
        <v>-1</v>
      </c>
      <c r="AX180" s="663">
        <f t="shared" si="50"/>
        <v>0</v>
      </c>
      <c r="AY180" s="687">
        <v>0</v>
      </c>
      <c r="AZ180" s="687"/>
      <c r="BA180" s="687"/>
      <c r="BC180" s="688">
        <f t="shared" si="51"/>
        <v>0</v>
      </c>
    </row>
    <row r="181" spans="2:55" x14ac:dyDescent="0.25">
      <c r="B181" s="662" t="s">
        <v>1071</v>
      </c>
      <c r="C181" s="662" t="s">
        <v>932</v>
      </c>
      <c r="D181" s="663"/>
      <c r="E181" s="662">
        <v>1</v>
      </c>
      <c r="F181" s="662">
        <v>1</v>
      </c>
      <c r="I181" s="662">
        <v>1</v>
      </c>
      <c r="Q181" s="681">
        <f t="shared" si="47"/>
        <v>3</v>
      </c>
      <c r="R181" s="691"/>
      <c r="W181" s="663">
        <v>1</v>
      </c>
      <c r="AE181" s="684">
        <f t="shared" si="56"/>
        <v>1</v>
      </c>
      <c r="AG181" s="683">
        <v>0</v>
      </c>
      <c r="AH181" s="683">
        <v>0</v>
      </c>
      <c r="AI181" s="683">
        <v>0</v>
      </c>
      <c r="AJ181" s="683">
        <v>0</v>
      </c>
      <c r="AK181" s="663">
        <v>1</v>
      </c>
      <c r="AS181" s="685">
        <f t="shared" si="63"/>
        <v>1</v>
      </c>
      <c r="AU181" s="686">
        <f t="shared" si="48"/>
        <v>3</v>
      </c>
      <c r="AV181" s="665">
        <f t="shared" si="53"/>
        <v>1</v>
      </c>
      <c r="AW181" s="687">
        <f t="shared" si="49"/>
        <v>-0.66666666666666674</v>
      </c>
      <c r="AX181" s="663">
        <f t="shared" si="50"/>
        <v>1</v>
      </c>
      <c r="AY181" s="687">
        <f t="shared" si="52"/>
        <v>0</v>
      </c>
      <c r="AZ181" s="687"/>
      <c r="BA181" s="687"/>
      <c r="BC181" s="688">
        <f t="shared" si="51"/>
        <v>2.7397260273972603E-3</v>
      </c>
    </row>
    <row r="182" spans="2:55" x14ac:dyDescent="0.25">
      <c r="B182" s="662" t="s">
        <v>1072</v>
      </c>
      <c r="C182" s="662" t="s">
        <v>932</v>
      </c>
      <c r="D182" s="663"/>
      <c r="Q182" s="681">
        <f t="shared" si="47"/>
        <v>0</v>
      </c>
      <c r="R182" s="691"/>
      <c r="S182" s="662">
        <v>1</v>
      </c>
      <c r="AE182" s="684">
        <f t="shared" si="56"/>
        <v>1</v>
      </c>
      <c r="AG182" s="692">
        <v>0</v>
      </c>
      <c r="AH182" s="683">
        <v>0</v>
      </c>
      <c r="AI182" s="683">
        <v>0</v>
      </c>
      <c r="AJ182" s="683">
        <v>0</v>
      </c>
      <c r="AS182" s="685">
        <f t="shared" si="63"/>
        <v>0</v>
      </c>
      <c r="AU182" s="686">
        <f t="shared" si="48"/>
        <v>0</v>
      </c>
      <c r="AV182" s="665">
        <f t="shared" si="53"/>
        <v>1</v>
      </c>
      <c r="AW182" s="687" t="e">
        <f t="shared" si="49"/>
        <v>#DIV/0!</v>
      </c>
      <c r="AX182" s="663">
        <f t="shared" si="50"/>
        <v>0</v>
      </c>
      <c r="AY182" s="687">
        <f t="shared" si="52"/>
        <v>-1</v>
      </c>
      <c r="AZ182" s="687"/>
      <c r="BA182" s="687"/>
      <c r="BC182" s="688">
        <f t="shared" si="51"/>
        <v>2.7397260273972603E-3</v>
      </c>
    </row>
    <row r="183" spans="2:55" x14ac:dyDescent="0.25">
      <c r="B183" s="662" t="s">
        <v>1073</v>
      </c>
      <c r="C183" s="662" t="s">
        <v>932</v>
      </c>
      <c r="D183" s="663"/>
      <c r="E183" s="662">
        <v>1</v>
      </c>
      <c r="Q183" s="681">
        <f t="shared" si="47"/>
        <v>1</v>
      </c>
      <c r="R183" s="691"/>
      <c r="AE183" s="684">
        <f t="shared" si="56"/>
        <v>0</v>
      </c>
      <c r="AG183" s="683">
        <v>0</v>
      </c>
      <c r="AH183" s="683">
        <v>0</v>
      </c>
      <c r="AI183" s="683">
        <v>0</v>
      </c>
      <c r="AJ183" s="683">
        <v>0</v>
      </c>
      <c r="AS183" s="685">
        <f t="shared" si="63"/>
        <v>0</v>
      </c>
      <c r="AU183" s="686">
        <f t="shared" si="48"/>
        <v>1</v>
      </c>
      <c r="AV183" s="665">
        <f t="shared" si="53"/>
        <v>0</v>
      </c>
      <c r="AW183" s="687">
        <f t="shared" si="49"/>
        <v>-1</v>
      </c>
      <c r="AX183" s="663">
        <f t="shared" si="50"/>
        <v>0</v>
      </c>
      <c r="AY183" s="687">
        <v>0</v>
      </c>
      <c r="AZ183" s="687"/>
      <c r="BA183" s="687"/>
      <c r="BC183" s="688">
        <f t="shared" si="51"/>
        <v>0</v>
      </c>
    </row>
    <row r="184" spans="2:55" x14ac:dyDescent="0.25">
      <c r="B184" s="662" t="s">
        <v>1074</v>
      </c>
      <c r="C184" s="662" t="s">
        <v>939</v>
      </c>
      <c r="D184" s="663"/>
      <c r="M184" s="662">
        <v>1</v>
      </c>
      <c r="Q184" s="681">
        <f t="shared" si="47"/>
        <v>1</v>
      </c>
      <c r="R184" s="691"/>
      <c r="AA184" s="663">
        <v>1</v>
      </c>
      <c r="AE184" s="684">
        <f t="shared" si="56"/>
        <v>1</v>
      </c>
      <c r="AG184" s="683">
        <v>0</v>
      </c>
      <c r="AH184" s="683">
        <v>0</v>
      </c>
      <c r="AI184" s="683">
        <v>0</v>
      </c>
      <c r="AJ184" s="683">
        <v>0</v>
      </c>
      <c r="AO184" s="663">
        <v>1</v>
      </c>
      <c r="AS184" s="685">
        <f t="shared" si="63"/>
        <v>1</v>
      </c>
      <c r="AU184" s="686">
        <f t="shared" si="48"/>
        <v>1</v>
      </c>
      <c r="AV184" s="665">
        <f t="shared" si="53"/>
        <v>1</v>
      </c>
      <c r="AW184" s="687">
        <f t="shared" si="49"/>
        <v>0</v>
      </c>
      <c r="AX184" s="663">
        <f t="shared" si="50"/>
        <v>1</v>
      </c>
      <c r="AY184" s="687">
        <f t="shared" si="52"/>
        <v>0</v>
      </c>
      <c r="AZ184" s="687"/>
      <c r="BA184" s="687"/>
      <c r="BC184" s="688">
        <f t="shared" si="51"/>
        <v>2.7397260273972603E-3</v>
      </c>
    </row>
    <row r="185" spans="2:55" x14ac:dyDescent="0.25">
      <c r="B185" s="662" t="s">
        <v>1075</v>
      </c>
      <c r="C185" s="662" t="s">
        <v>932</v>
      </c>
      <c r="D185" s="663"/>
      <c r="K185" s="662">
        <v>1</v>
      </c>
      <c r="L185" s="662">
        <v>1</v>
      </c>
      <c r="M185" s="662">
        <v>2</v>
      </c>
      <c r="Q185" s="681">
        <f t="shared" si="47"/>
        <v>4</v>
      </c>
      <c r="R185" s="691"/>
      <c r="Y185" s="663">
        <v>1</v>
      </c>
      <c r="Z185" s="663">
        <v>1</v>
      </c>
      <c r="AA185" s="663">
        <v>2</v>
      </c>
      <c r="AE185" s="684">
        <f t="shared" si="56"/>
        <v>4</v>
      </c>
      <c r="AG185" s="683">
        <v>0</v>
      </c>
      <c r="AH185" s="683">
        <v>0</v>
      </c>
      <c r="AI185" s="683">
        <v>0</v>
      </c>
      <c r="AJ185" s="683">
        <v>0</v>
      </c>
      <c r="AM185" s="663">
        <v>1</v>
      </c>
      <c r="AN185" s="663">
        <v>1</v>
      </c>
      <c r="AO185" s="663">
        <v>2</v>
      </c>
      <c r="AS185" s="685">
        <f t="shared" si="63"/>
        <v>4</v>
      </c>
      <c r="AU185" s="686">
        <f t="shared" si="48"/>
        <v>4</v>
      </c>
      <c r="AV185" s="665">
        <f t="shared" si="53"/>
        <v>4</v>
      </c>
      <c r="AW185" s="687">
        <f t="shared" si="49"/>
        <v>0</v>
      </c>
      <c r="AX185" s="663">
        <f t="shared" si="50"/>
        <v>4</v>
      </c>
      <c r="AY185" s="687">
        <f t="shared" si="52"/>
        <v>0</v>
      </c>
      <c r="AZ185" s="687"/>
      <c r="BA185" s="687"/>
      <c r="BC185" s="688">
        <f t="shared" si="51"/>
        <v>1.0958904109589041E-2</v>
      </c>
    </row>
    <row r="186" spans="2:55" x14ac:dyDescent="0.25">
      <c r="B186" s="662" t="s">
        <v>1076</v>
      </c>
      <c r="C186" s="662" t="s">
        <v>932</v>
      </c>
      <c r="D186" s="663"/>
      <c r="L186" s="662">
        <v>1</v>
      </c>
      <c r="Q186" s="681">
        <f t="shared" si="47"/>
        <v>1</v>
      </c>
      <c r="R186" s="691"/>
      <c r="Z186" s="663">
        <v>1</v>
      </c>
      <c r="AE186" s="684">
        <f t="shared" si="56"/>
        <v>1</v>
      </c>
      <c r="AG186" s="683">
        <v>0</v>
      </c>
      <c r="AH186" s="683">
        <v>0</v>
      </c>
      <c r="AI186" s="683">
        <v>0</v>
      </c>
      <c r="AJ186" s="683">
        <v>0</v>
      </c>
      <c r="AN186" s="663">
        <v>1</v>
      </c>
      <c r="AS186" s="685">
        <f t="shared" si="63"/>
        <v>1</v>
      </c>
      <c r="AU186" s="686">
        <f t="shared" si="48"/>
        <v>1</v>
      </c>
      <c r="AV186" s="665">
        <f t="shared" si="53"/>
        <v>1</v>
      </c>
      <c r="AW186" s="687">
        <f t="shared" si="49"/>
        <v>0</v>
      </c>
      <c r="AX186" s="663">
        <f t="shared" si="50"/>
        <v>1</v>
      </c>
      <c r="AY186" s="687">
        <f t="shared" si="52"/>
        <v>0</v>
      </c>
      <c r="AZ186" s="687"/>
      <c r="BA186" s="687"/>
      <c r="BC186" s="688">
        <f t="shared" si="51"/>
        <v>2.7397260273972603E-3</v>
      </c>
    </row>
    <row r="187" spans="2:55" x14ac:dyDescent="0.25">
      <c r="B187" s="662" t="s">
        <v>1077</v>
      </c>
      <c r="C187" s="662" t="s">
        <v>932</v>
      </c>
      <c r="D187" s="663"/>
      <c r="H187" s="662">
        <v>1</v>
      </c>
      <c r="Q187" s="681">
        <f t="shared" si="47"/>
        <v>1</v>
      </c>
      <c r="R187" s="691"/>
      <c r="AE187" s="684">
        <f t="shared" si="56"/>
        <v>0</v>
      </c>
      <c r="AG187" s="683">
        <v>0</v>
      </c>
      <c r="AH187" s="683">
        <v>0</v>
      </c>
      <c r="AI187" s="683">
        <v>0</v>
      </c>
      <c r="AJ187" s="683">
        <v>0</v>
      </c>
      <c r="AS187" s="685">
        <f t="shared" si="63"/>
        <v>0</v>
      </c>
      <c r="AU187" s="686">
        <f t="shared" si="48"/>
        <v>1</v>
      </c>
      <c r="AV187" s="665">
        <f t="shared" si="53"/>
        <v>0</v>
      </c>
      <c r="AW187" s="687">
        <f t="shared" si="49"/>
        <v>-1</v>
      </c>
      <c r="AX187" s="663">
        <f t="shared" si="50"/>
        <v>0</v>
      </c>
      <c r="AY187" s="687">
        <v>0</v>
      </c>
      <c r="AZ187" s="687"/>
      <c r="BA187" s="687"/>
      <c r="BC187" s="688">
        <f t="shared" si="51"/>
        <v>0</v>
      </c>
    </row>
    <row r="188" spans="2:55" x14ac:dyDescent="0.25">
      <c r="B188" s="662" t="s">
        <v>1078</v>
      </c>
      <c r="C188" s="662" t="s">
        <v>932</v>
      </c>
      <c r="D188" s="663"/>
      <c r="E188" s="662">
        <v>1</v>
      </c>
      <c r="F188" s="662">
        <v>1</v>
      </c>
      <c r="H188" s="662">
        <v>2</v>
      </c>
      <c r="K188" s="662">
        <v>3</v>
      </c>
      <c r="Q188" s="681">
        <f t="shared" si="47"/>
        <v>7</v>
      </c>
      <c r="R188" s="691"/>
      <c r="Y188" s="663">
        <v>3</v>
      </c>
      <c r="AE188" s="684">
        <f t="shared" si="56"/>
        <v>3</v>
      </c>
      <c r="AG188" s="683">
        <v>0</v>
      </c>
      <c r="AH188" s="683">
        <v>0</v>
      </c>
      <c r="AI188" s="683">
        <v>0</v>
      </c>
      <c r="AJ188" s="683">
        <v>0</v>
      </c>
      <c r="AM188" s="663">
        <v>3</v>
      </c>
      <c r="AS188" s="685">
        <f t="shared" si="63"/>
        <v>3</v>
      </c>
      <c r="AU188" s="686">
        <f t="shared" si="48"/>
        <v>7</v>
      </c>
      <c r="AV188" s="665">
        <f t="shared" si="53"/>
        <v>3</v>
      </c>
      <c r="AW188" s="687">
        <f t="shared" si="49"/>
        <v>-0.5714285714285714</v>
      </c>
      <c r="AX188" s="663">
        <f t="shared" si="50"/>
        <v>3</v>
      </c>
      <c r="AY188" s="687">
        <f t="shared" si="52"/>
        <v>0</v>
      </c>
      <c r="AZ188" s="687"/>
      <c r="BA188" s="687"/>
      <c r="BC188" s="688">
        <f t="shared" si="51"/>
        <v>8.21917808219178E-3</v>
      </c>
    </row>
    <row r="189" spans="2:55" x14ac:dyDescent="0.25">
      <c r="B189" s="662" t="s">
        <v>1079</v>
      </c>
      <c r="C189" s="662" t="s">
        <v>1059</v>
      </c>
      <c r="D189" s="663"/>
      <c r="I189" s="662">
        <v>1</v>
      </c>
      <c r="M189" s="662">
        <v>2</v>
      </c>
      <c r="P189" s="662">
        <v>1</v>
      </c>
      <c r="Q189" s="681">
        <f t="shared" si="47"/>
        <v>4</v>
      </c>
      <c r="R189" s="691"/>
      <c r="W189" s="663">
        <v>1</v>
      </c>
      <c r="AA189" s="663">
        <v>2</v>
      </c>
      <c r="AD189" s="663">
        <v>1</v>
      </c>
      <c r="AE189" s="684">
        <f t="shared" si="56"/>
        <v>4</v>
      </c>
      <c r="AG189" s="683">
        <v>0</v>
      </c>
      <c r="AH189" s="683">
        <v>0</v>
      </c>
      <c r="AI189" s="683">
        <v>0</v>
      </c>
      <c r="AJ189" s="683">
        <v>0</v>
      </c>
      <c r="AK189" s="663">
        <v>1</v>
      </c>
      <c r="AO189" s="663">
        <v>2</v>
      </c>
      <c r="AR189" s="663">
        <v>1</v>
      </c>
      <c r="AS189" s="685">
        <f t="shared" si="63"/>
        <v>4</v>
      </c>
      <c r="AU189" s="686">
        <f t="shared" si="48"/>
        <v>4</v>
      </c>
      <c r="AV189" s="665">
        <f t="shared" si="53"/>
        <v>4</v>
      </c>
      <c r="AW189" s="687">
        <f t="shared" si="49"/>
        <v>0</v>
      </c>
      <c r="AX189" s="663">
        <f t="shared" si="50"/>
        <v>4</v>
      </c>
      <c r="AY189" s="687">
        <f t="shared" si="52"/>
        <v>0</v>
      </c>
      <c r="AZ189" s="687"/>
      <c r="BA189" s="687"/>
      <c r="BC189" s="688">
        <f t="shared" si="51"/>
        <v>1.0958904109589041E-2</v>
      </c>
    </row>
    <row r="190" spans="2:55" x14ac:dyDescent="0.25">
      <c r="B190" s="662" t="s">
        <v>1080</v>
      </c>
      <c r="C190" s="662" t="s">
        <v>1059</v>
      </c>
      <c r="D190" s="663"/>
      <c r="L190" s="662">
        <v>1</v>
      </c>
      <c r="Q190" s="681">
        <f t="shared" si="47"/>
        <v>1</v>
      </c>
      <c r="R190" s="691"/>
      <c r="Z190" s="663">
        <v>1</v>
      </c>
      <c r="AE190" s="684">
        <f t="shared" si="56"/>
        <v>1</v>
      </c>
      <c r="AG190" s="683">
        <v>0</v>
      </c>
      <c r="AH190" s="683">
        <v>0</v>
      </c>
      <c r="AI190" s="683">
        <v>0</v>
      </c>
      <c r="AJ190" s="683">
        <v>0</v>
      </c>
      <c r="AN190" s="663">
        <v>1</v>
      </c>
      <c r="AS190" s="685">
        <f t="shared" si="63"/>
        <v>1</v>
      </c>
      <c r="AU190" s="686">
        <f t="shared" si="48"/>
        <v>1</v>
      </c>
      <c r="AV190" s="665">
        <f t="shared" si="53"/>
        <v>1</v>
      </c>
      <c r="AW190" s="687">
        <f t="shared" si="49"/>
        <v>0</v>
      </c>
      <c r="AX190" s="663">
        <f t="shared" si="50"/>
        <v>1</v>
      </c>
      <c r="AY190" s="687">
        <f t="shared" si="52"/>
        <v>0</v>
      </c>
      <c r="AZ190" s="687"/>
      <c r="BA190" s="687"/>
      <c r="BC190" s="688">
        <f t="shared" si="51"/>
        <v>2.7397260273972603E-3</v>
      </c>
    </row>
    <row r="191" spans="2:55" x14ac:dyDescent="0.25">
      <c r="B191" s="662" t="s">
        <v>1081</v>
      </c>
      <c r="C191" s="662" t="s">
        <v>939</v>
      </c>
      <c r="D191" s="663"/>
      <c r="G191" s="662">
        <v>1</v>
      </c>
      <c r="H191" s="662">
        <v>1</v>
      </c>
      <c r="M191" s="662">
        <v>9</v>
      </c>
      <c r="O191" s="662">
        <v>2</v>
      </c>
      <c r="Q191" s="681">
        <f t="shared" si="47"/>
        <v>13</v>
      </c>
      <c r="R191" s="691"/>
      <c r="T191" s="662">
        <v>1</v>
      </c>
      <c r="AA191" s="663">
        <v>9</v>
      </c>
      <c r="AC191" s="663">
        <v>2</v>
      </c>
      <c r="AE191" s="684">
        <f t="shared" si="56"/>
        <v>12</v>
      </c>
      <c r="AG191" s="692">
        <v>1</v>
      </c>
      <c r="AH191" s="683">
        <v>0</v>
      </c>
      <c r="AI191" s="683">
        <v>0</v>
      </c>
      <c r="AJ191" s="683">
        <v>0</v>
      </c>
      <c r="AO191" s="663">
        <v>9</v>
      </c>
      <c r="AQ191" s="663">
        <v>2</v>
      </c>
      <c r="AS191" s="685">
        <f t="shared" si="63"/>
        <v>12</v>
      </c>
      <c r="AU191" s="686">
        <f t="shared" si="48"/>
        <v>13</v>
      </c>
      <c r="AV191" s="665">
        <f t="shared" si="53"/>
        <v>12</v>
      </c>
      <c r="AW191" s="687">
        <f t="shared" si="49"/>
        <v>-7.6923076923076872E-2</v>
      </c>
      <c r="AX191" s="663">
        <f t="shared" si="50"/>
        <v>12</v>
      </c>
      <c r="AY191" s="687">
        <f t="shared" si="52"/>
        <v>0</v>
      </c>
      <c r="AZ191" s="687"/>
      <c r="BA191" s="687"/>
      <c r="BC191" s="688">
        <f t="shared" si="51"/>
        <v>3.287671232876712E-2</v>
      </c>
    </row>
    <row r="192" spans="2:55" x14ac:dyDescent="0.25">
      <c r="B192" s="662" t="s">
        <v>1082</v>
      </c>
      <c r="C192" s="662" t="s">
        <v>932</v>
      </c>
      <c r="D192" s="663"/>
      <c r="L192" s="662">
        <v>1</v>
      </c>
      <c r="Q192" s="681">
        <f t="shared" si="47"/>
        <v>1</v>
      </c>
      <c r="R192" s="691"/>
      <c r="S192" s="662">
        <v>1</v>
      </c>
      <c r="Z192" s="663">
        <v>1</v>
      </c>
      <c r="AE192" s="684">
        <f t="shared" si="56"/>
        <v>2</v>
      </c>
      <c r="AG192" s="692">
        <v>1</v>
      </c>
      <c r="AH192" s="683">
        <v>0</v>
      </c>
      <c r="AI192" s="683">
        <v>0</v>
      </c>
      <c r="AJ192" s="683">
        <v>0</v>
      </c>
      <c r="AN192" s="663">
        <v>1</v>
      </c>
      <c r="AS192" s="685">
        <f t="shared" si="63"/>
        <v>2</v>
      </c>
      <c r="AU192" s="686">
        <f t="shared" si="48"/>
        <v>1</v>
      </c>
      <c r="AV192" s="665">
        <f t="shared" si="53"/>
        <v>2</v>
      </c>
      <c r="AW192" s="687">
        <f t="shared" si="49"/>
        <v>1</v>
      </c>
      <c r="AX192" s="663">
        <f t="shared" si="50"/>
        <v>2</v>
      </c>
      <c r="AY192" s="687">
        <f t="shared" si="52"/>
        <v>0</v>
      </c>
      <c r="AZ192" s="687"/>
      <c r="BA192" s="687"/>
      <c r="BC192" s="688">
        <f t="shared" si="51"/>
        <v>5.4794520547945206E-3</v>
      </c>
    </row>
    <row r="193" spans="1:55" x14ac:dyDescent="0.25">
      <c r="B193" s="662" t="s">
        <v>1083</v>
      </c>
      <c r="C193" s="662" t="s">
        <v>1059</v>
      </c>
      <c r="D193" s="663"/>
      <c r="N193" s="662">
        <v>1</v>
      </c>
      <c r="Q193" s="681">
        <f t="shared" si="47"/>
        <v>1</v>
      </c>
      <c r="R193" s="691"/>
      <c r="AB193" s="663">
        <v>1</v>
      </c>
      <c r="AE193" s="684">
        <f t="shared" si="56"/>
        <v>1</v>
      </c>
      <c r="AG193" s="683">
        <v>0</v>
      </c>
      <c r="AH193" s="683">
        <v>0</v>
      </c>
      <c r="AI193" s="683">
        <v>0</v>
      </c>
      <c r="AJ193" s="683">
        <v>0</v>
      </c>
      <c r="AP193" s="663">
        <v>1</v>
      </c>
      <c r="AS193" s="685">
        <f t="shared" si="63"/>
        <v>1</v>
      </c>
      <c r="AU193" s="686">
        <f t="shared" si="48"/>
        <v>1</v>
      </c>
      <c r="AV193" s="665">
        <f t="shared" si="53"/>
        <v>1</v>
      </c>
      <c r="AW193" s="687">
        <f t="shared" si="49"/>
        <v>0</v>
      </c>
      <c r="AX193" s="663">
        <f t="shared" si="50"/>
        <v>1</v>
      </c>
      <c r="AY193" s="687">
        <f t="shared" si="52"/>
        <v>0</v>
      </c>
      <c r="AZ193" s="687"/>
      <c r="BA193" s="687"/>
      <c r="BC193" s="688">
        <f t="shared" si="51"/>
        <v>2.7397260273972603E-3</v>
      </c>
    </row>
    <row r="194" spans="1:55" x14ac:dyDescent="0.25">
      <c r="B194" s="662" t="s">
        <v>1084</v>
      </c>
      <c r="C194" s="662" t="s">
        <v>932</v>
      </c>
      <c r="D194" s="663"/>
      <c r="E194" s="662">
        <v>1</v>
      </c>
      <c r="H194" s="662">
        <v>1</v>
      </c>
      <c r="Q194" s="681">
        <f t="shared" si="47"/>
        <v>2</v>
      </c>
      <c r="R194" s="691"/>
      <c r="AE194" s="684">
        <f t="shared" si="56"/>
        <v>0</v>
      </c>
      <c r="AG194" s="683">
        <v>0</v>
      </c>
      <c r="AH194" s="683">
        <v>0</v>
      </c>
      <c r="AI194" s="683">
        <v>0</v>
      </c>
      <c r="AJ194" s="683">
        <v>0</v>
      </c>
      <c r="AS194" s="685">
        <f t="shared" si="63"/>
        <v>0</v>
      </c>
      <c r="AU194" s="686">
        <f t="shared" si="48"/>
        <v>2</v>
      </c>
      <c r="AV194" s="665">
        <f t="shared" si="53"/>
        <v>0</v>
      </c>
      <c r="AW194" s="687">
        <f t="shared" si="49"/>
        <v>-1</v>
      </c>
      <c r="AX194" s="663">
        <f t="shared" si="50"/>
        <v>0</v>
      </c>
      <c r="AY194" s="687">
        <v>0</v>
      </c>
      <c r="AZ194" s="687"/>
      <c r="BA194" s="687"/>
      <c r="BC194" s="688">
        <f t="shared" si="51"/>
        <v>0</v>
      </c>
    </row>
    <row r="195" spans="1:55" x14ac:dyDescent="0.25">
      <c r="B195" s="662" t="s">
        <v>1085</v>
      </c>
      <c r="C195" s="662" t="s">
        <v>939</v>
      </c>
      <c r="D195" s="663"/>
      <c r="I195" s="662">
        <v>1</v>
      </c>
      <c r="Q195" s="681">
        <f t="shared" si="47"/>
        <v>1</v>
      </c>
      <c r="R195" s="691"/>
      <c r="W195" s="663">
        <v>1</v>
      </c>
      <c r="AE195" s="684">
        <f t="shared" si="56"/>
        <v>1</v>
      </c>
      <c r="AG195" s="683">
        <v>0</v>
      </c>
      <c r="AH195" s="683">
        <v>0</v>
      </c>
      <c r="AI195" s="683">
        <v>0</v>
      </c>
      <c r="AJ195" s="683">
        <v>0</v>
      </c>
      <c r="AK195" s="663">
        <v>1</v>
      </c>
      <c r="AS195" s="685">
        <f t="shared" si="63"/>
        <v>1</v>
      </c>
      <c r="AU195" s="686">
        <f t="shared" si="48"/>
        <v>1</v>
      </c>
      <c r="AV195" s="665">
        <f t="shared" si="53"/>
        <v>1</v>
      </c>
      <c r="AW195" s="687">
        <f t="shared" si="49"/>
        <v>0</v>
      </c>
      <c r="AX195" s="663">
        <f t="shared" si="50"/>
        <v>1</v>
      </c>
      <c r="AY195" s="687">
        <f t="shared" si="52"/>
        <v>0</v>
      </c>
      <c r="AZ195" s="687"/>
      <c r="BA195" s="687"/>
      <c r="BC195" s="688">
        <f t="shared" si="51"/>
        <v>2.7397260273972603E-3</v>
      </c>
    </row>
    <row r="196" spans="1:55" x14ac:dyDescent="0.25">
      <c r="B196" s="662" t="s">
        <v>1086</v>
      </c>
      <c r="C196" s="662" t="s">
        <v>932</v>
      </c>
      <c r="D196" s="663"/>
      <c r="E196" s="706"/>
      <c r="F196" s="706"/>
      <c r="G196" s="706"/>
      <c r="H196" s="706"/>
      <c r="I196" s="706"/>
      <c r="J196" s="706"/>
      <c r="K196" s="706"/>
      <c r="L196" s="706"/>
      <c r="M196" s="706"/>
      <c r="N196" s="706"/>
      <c r="O196" s="706">
        <v>4</v>
      </c>
      <c r="P196" s="707"/>
      <c r="Q196" s="681">
        <f t="shared" si="47"/>
        <v>4</v>
      </c>
      <c r="R196" s="691"/>
      <c r="W196" s="708"/>
      <c r="X196" s="708"/>
      <c r="Y196" s="708"/>
      <c r="Z196" s="708"/>
      <c r="AA196" s="708"/>
      <c r="AB196" s="708"/>
      <c r="AC196" s="708">
        <v>4</v>
      </c>
      <c r="AD196" s="709"/>
      <c r="AE196" s="684">
        <f t="shared" si="56"/>
        <v>4</v>
      </c>
      <c r="AG196" s="683">
        <v>0</v>
      </c>
      <c r="AH196" s="683">
        <v>0</v>
      </c>
      <c r="AI196" s="683">
        <v>0</v>
      </c>
      <c r="AJ196" s="683">
        <v>0</v>
      </c>
      <c r="AK196" s="708"/>
      <c r="AL196" s="708"/>
      <c r="AM196" s="708"/>
      <c r="AN196" s="708"/>
      <c r="AO196" s="708"/>
      <c r="AP196" s="708"/>
      <c r="AQ196" s="708">
        <v>4</v>
      </c>
      <c r="AR196" s="709"/>
      <c r="AS196" s="685">
        <f t="shared" si="63"/>
        <v>4</v>
      </c>
      <c r="AU196" s="686">
        <f t="shared" si="48"/>
        <v>4</v>
      </c>
      <c r="AV196" s="665">
        <f t="shared" si="53"/>
        <v>4</v>
      </c>
      <c r="AW196" s="687">
        <f t="shared" si="49"/>
        <v>0</v>
      </c>
      <c r="AX196" s="663">
        <f t="shared" si="50"/>
        <v>4</v>
      </c>
      <c r="AY196" s="687">
        <f t="shared" si="52"/>
        <v>0</v>
      </c>
      <c r="AZ196" s="687"/>
      <c r="BA196" s="687"/>
      <c r="BC196" s="688">
        <f t="shared" si="51"/>
        <v>1.0958904109589041E-2</v>
      </c>
    </row>
    <row r="197" spans="1:55" x14ac:dyDescent="0.25">
      <c r="B197" s="662" t="s">
        <v>1087</v>
      </c>
      <c r="C197" s="662" t="s">
        <v>932</v>
      </c>
      <c r="D197" s="663"/>
      <c r="E197" s="664"/>
      <c r="F197" s="664"/>
      <c r="G197" s="664"/>
      <c r="H197" s="664"/>
      <c r="I197" s="664"/>
      <c r="J197" s="664"/>
      <c r="K197" s="664"/>
      <c r="L197" s="664">
        <v>1</v>
      </c>
      <c r="M197" s="664"/>
      <c r="N197" s="664"/>
      <c r="O197" s="664"/>
      <c r="P197" s="681"/>
      <c r="Q197" s="681">
        <f t="shared" si="47"/>
        <v>1</v>
      </c>
      <c r="R197" s="681"/>
      <c r="W197" s="685"/>
      <c r="X197" s="685"/>
      <c r="Y197" s="685"/>
      <c r="Z197" s="685">
        <v>1</v>
      </c>
      <c r="AA197" s="685"/>
      <c r="AB197" s="685"/>
      <c r="AC197" s="685"/>
      <c r="AD197" s="684"/>
      <c r="AE197" s="684">
        <f t="shared" si="56"/>
        <v>1</v>
      </c>
      <c r="AG197" s="683">
        <v>0</v>
      </c>
      <c r="AH197" s="683">
        <v>0</v>
      </c>
      <c r="AI197" s="683">
        <v>0</v>
      </c>
      <c r="AJ197" s="683">
        <v>0</v>
      </c>
      <c r="AK197" s="685"/>
      <c r="AL197" s="685"/>
      <c r="AM197" s="685"/>
      <c r="AN197" s="685">
        <v>1</v>
      </c>
      <c r="AO197" s="685"/>
      <c r="AP197" s="685"/>
      <c r="AQ197" s="685"/>
      <c r="AR197" s="684"/>
      <c r="AS197" s="685">
        <f t="shared" si="63"/>
        <v>1</v>
      </c>
      <c r="AU197" s="686">
        <f t="shared" si="48"/>
        <v>1</v>
      </c>
      <c r="AV197" s="665">
        <f t="shared" si="53"/>
        <v>1</v>
      </c>
      <c r="AW197" s="687">
        <f t="shared" si="49"/>
        <v>0</v>
      </c>
      <c r="AX197" s="663">
        <f t="shared" si="50"/>
        <v>1</v>
      </c>
      <c r="AY197" s="687">
        <f t="shared" si="52"/>
        <v>0</v>
      </c>
      <c r="AZ197" s="687"/>
      <c r="BA197" s="687"/>
      <c r="BC197" s="688">
        <f t="shared" si="51"/>
        <v>2.7397260273972603E-3</v>
      </c>
    </row>
    <row r="198" spans="1:55" x14ac:dyDescent="0.25">
      <c r="A198" s="693" t="s">
        <v>1088</v>
      </c>
      <c r="B198" s="693"/>
      <c r="C198" s="693"/>
      <c r="D198" s="694"/>
      <c r="E198" s="693">
        <v>5</v>
      </c>
      <c r="F198" s="693">
        <v>4</v>
      </c>
      <c r="G198" s="693">
        <v>3</v>
      </c>
      <c r="H198" s="693">
        <v>8</v>
      </c>
      <c r="I198" s="693">
        <v>8</v>
      </c>
      <c r="J198" s="693">
        <v>1</v>
      </c>
      <c r="K198" s="693">
        <v>8</v>
      </c>
      <c r="L198" s="693">
        <v>11</v>
      </c>
      <c r="M198" s="693">
        <v>19</v>
      </c>
      <c r="N198" s="693">
        <v>2</v>
      </c>
      <c r="O198" s="693">
        <v>12</v>
      </c>
      <c r="P198" s="693">
        <v>1</v>
      </c>
      <c r="Q198" s="695">
        <f t="shared" si="47"/>
        <v>82</v>
      </c>
      <c r="R198" s="695"/>
      <c r="S198" s="693">
        <v>3</v>
      </c>
      <c r="T198" s="693">
        <v>3</v>
      </c>
      <c r="U198" s="693">
        <v>3</v>
      </c>
      <c r="V198" s="693">
        <v>3</v>
      </c>
      <c r="W198" s="696">
        <f>SUM(W167:W197)</f>
        <v>7</v>
      </c>
      <c r="X198" s="696">
        <f t="shared" ref="X198:AD198" si="66">SUM(X167:X197)</f>
        <v>2</v>
      </c>
      <c r="Y198" s="696">
        <f t="shared" si="66"/>
        <v>7</v>
      </c>
      <c r="Z198" s="696">
        <f t="shared" si="66"/>
        <v>10</v>
      </c>
      <c r="AA198" s="696">
        <f t="shared" si="66"/>
        <v>19</v>
      </c>
      <c r="AB198" s="696">
        <f t="shared" si="66"/>
        <v>4</v>
      </c>
      <c r="AC198" s="696">
        <f t="shared" si="66"/>
        <v>9</v>
      </c>
      <c r="AD198" s="696">
        <f t="shared" si="66"/>
        <v>2</v>
      </c>
      <c r="AE198" s="697">
        <f t="shared" si="56"/>
        <v>72</v>
      </c>
      <c r="AF198" s="694"/>
      <c r="AG198" s="694">
        <f t="shared" ref="AG198:AR198" si="67">SUM(AG167:AG197)</f>
        <v>9</v>
      </c>
      <c r="AH198" s="694">
        <f t="shared" si="67"/>
        <v>0</v>
      </c>
      <c r="AI198" s="694">
        <f t="shared" si="67"/>
        <v>2</v>
      </c>
      <c r="AJ198" s="694">
        <f t="shared" si="67"/>
        <v>0</v>
      </c>
      <c r="AK198" s="694">
        <f t="shared" si="67"/>
        <v>8</v>
      </c>
      <c r="AL198" s="694">
        <f t="shared" si="67"/>
        <v>2</v>
      </c>
      <c r="AM198" s="694">
        <f t="shared" si="67"/>
        <v>7</v>
      </c>
      <c r="AN198" s="694">
        <f t="shared" si="67"/>
        <v>8</v>
      </c>
      <c r="AO198" s="694">
        <f t="shared" si="67"/>
        <v>19</v>
      </c>
      <c r="AP198" s="694">
        <f t="shared" si="67"/>
        <v>2</v>
      </c>
      <c r="AQ198" s="694">
        <f t="shared" si="67"/>
        <v>10</v>
      </c>
      <c r="AR198" s="694">
        <f t="shared" si="67"/>
        <v>1</v>
      </c>
      <c r="AS198" s="694">
        <f>SUM(AS167:AS197)</f>
        <v>68</v>
      </c>
      <c r="AT198" s="694"/>
      <c r="AU198" s="697">
        <f t="shared" si="48"/>
        <v>82</v>
      </c>
      <c r="AV198" s="697">
        <f t="shared" si="53"/>
        <v>72</v>
      </c>
      <c r="AW198" s="698">
        <f t="shared" si="49"/>
        <v>-0.12195121951219512</v>
      </c>
      <c r="AX198" s="694">
        <f t="shared" si="50"/>
        <v>68</v>
      </c>
      <c r="AY198" s="698">
        <f t="shared" si="52"/>
        <v>-5.555555555555558E-2</v>
      </c>
      <c r="AZ198" s="698"/>
      <c r="BA198" s="698"/>
      <c r="BC198" s="688">
        <f t="shared" si="51"/>
        <v>0.20273972602739726</v>
      </c>
    </row>
    <row r="199" spans="1:55" x14ac:dyDescent="0.25">
      <c r="A199" s="664" t="s">
        <v>1089</v>
      </c>
      <c r="B199" s="662" t="s">
        <v>1090</v>
      </c>
      <c r="C199" s="662" t="s">
        <v>932</v>
      </c>
      <c r="D199" s="663"/>
      <c r="Q199" s="681">
        <f t="shared" si="47"/>
        <v>0</v>
      </c>
      <c r="R199" s="691"/>
      <c r="T199" s="662">
        <v>2</v>
      </c>
      <c r="U199" s="662">
        <v>10</v>
      </c>
      <c r="V199" s="662">
        <v>16</v>
      </c>
      <c r="W199" s="683">
        <v>15</v>
      </c>
      <c r="X199" s="683">
        <v>16</v>
      </c>
      <c r="Y199" s="683">
        <v>16</v>
      </c>
      <c r="Z199" s="683">
        <v>14</v>
      </c>
      <c r="AA199" s="683">
        <v>16</v>
      </c>
      <c r="AB199" s="683">
        <v>15</v>
      </c>
      <c r="AC199" s="683">
        <v>16</v>
      </c>
      <c r="AD199" s="683">
        <v>15</v>
      </c>
      <c r="AE199" s="684">
        <f t="shared" si="56"/>
        <v>151</v>
      </c>
      <c r="AG199" s="692">
        <v>15</v>
      </c>
      <c r="AH199" s="692">
        <v>15</v>
      </c>
      <c r="AI199" s="692">
        <v>15</v>
      </c>
      <c r="AJ199" s="692">
        <v>15</v>
      </c>
      <c r="AK199" s="692">
        <v>15</v>
      </c>
      <c r="AL199" s="692">
        <v>15</v>
      </c>
      <c r="AM199" s="692">
        <v>15</v>
      </c>
      <c r="AN199" s="692">
        <v>15</v>
      </c>
      <c r="AO199" s="692">
        <v>15</v>
      </c>
      <c r="AP199" s="692">
        <v>15</v>
      </c>
      <c r="AQ199" s="692">
        <v>15</v>
      </c>
      <c r="AR199" s="692">
        <v>15</v>
      </c>
      <c r="AS199" s="685">
        <f t="shared" si="63"/>
        <v>180</v>
      </c>
      <c r="AU199" s="686">
        <f t="shared" si="48"/>
        <v>0</v>
      </c>
      <c r="AV199" s="665">
        <f t="shared" si="53"/>
        <v>151</v>
      </c>
      <c r="AW199" s="687" t="e">
        <f t="shared" si="49"/>
        <v>#DIV/0!</v>
      </c>
      <c r="AX199" s="663">
        <f t="shared" si="50"/>
        <v>180</v>
      </c>
      <c r="AY199" s="687">
        <f t="shared" si="52"/>
        <v>0.19205298013245042</v>
      </c>
      <c r="AZ199" s="687"/>
      <c r="BA199" s="687"/>
      <c r="BC199" s="688">
        <f t="shared" si="51"/>
        <v>7.6712328767123292E-2</v>
      </c>
    </row>
    <row r="200" spans="1:55" x14ac:dyDescent="0.25">
      <c r="C200" s="662" t="s">
        <v>939</v>
      </c>
      <c r="D200" s="663"/>
      <c r="Q200" s="681">
        <f t="shared" ref="Q200:Q263" si="68">SUM(E200:P200)</f>
        <v>0</v>
      </c>
      <c r="R200" s="691"/>
      <c r="T200" s="662">
        <v>3</v>
      </c>
      <c r="U200" s="662">
        <v>13</v>
      </c>
      <c r="V200" s="662">
        <v>18</v>
      </c>
      <c r="W200" s="683">
        <v>10</v>
      </c>
      <c r="X200" s="683">
        <v>10</v>
      </c>
      <c r="Y200" s="683">
        <v>16</v>
      </c>
      <c r="Z200" s="683">
        <v>10</v>
      </c>
      <c r="AA200" s="683">
        <v>10</v>
      </c>
      <c r="AB200" s="683">
        <v>10</v>
      </c>
      <c r="AC200" s="683">
        <v>10</v>
      </c>
      <c r="AD200" s="683">
        <v>10</v>
      </c>
      <c r="AE200" s="684">
        <f t="shared" si="56"/>
        <v>120</v>
      </c>
      <c r="AG200" s="692">
        <v>10</v>
      </c>
      <c r="AH200" s="692">
        <v>10</v>
      </c>
      <c r="AI200" s="692">
        <v>10</v>
      </c>
      <c r="AJ200" s="692">
        <v>10</v>
      </c>
      <c r="AK200" s="692">
        <v>10</v>
      </c>
      <c r="AL200" s="692">
        <v>10</v>
      </c>
      <c r="AM200" s="692">
        <v>10</v>
      </c>
      <c r="AN200" s="692">
        <v>10</v>
      </c>
      <c r="AO200" s="692">
        <v>10</v>
      </c>
      <c r="AP200" s="692">
        <v>10</v>
      </c>
      <c r="AQ200" s="692">
        <v>10</v>
      </c>
      <c r="AR200" s="692">
        <v>10</v>
      </c>
      <c r="AS200" s="685">
        <f t="shared" si="63"/>
        <v>120</v>
      </c>
      <c r="AU200" s="686">
        <f t="shared" ref="AU200:AU263" si="69">Q200</f>
        <v>0</v>
      </c>
      <c r="AV200" s="665">
        <f t="shared" si="53"/>
        <v>120</v>
      </c>
      <c r="AW200" s="687" t="e">
        <f t="shared" ref="AW200:AW263" si="70">(AV200/AU200)-1</f>
        <v>#DIV/0!</v>
      </c>
      <c r="AX200" s="663">
        <f t="shared" ref="AX200:AX263" si="71">AS200</f>
        <v>120</v>
      </c>
      <c r="AY200" s="687">
        <f t="shared" si="52"/>
        <v>0</v>
      </c>
      <c r="AZ200" s="687"/>
      <c r="BA200" s="687"/>
      <c r="BC200" s="688">
        <f t="shared" ref="BC200:BC263" si="72">(I200+J200+K200+L200+M200+N200+O200+P200+S200+T200+U200+V200)/365</f>
        <v>9.3150684931506855E-2</v>
      </c>
    </row>
    <row r="201" spans="1:55" x14ac:dyDescent="0.25">
      <c r="B201" s="662" t="s">
        <v>1091</v>
      </c>
      <c r="C201" s="662" t="s">
        <v>932</v>
      </c>
      <c r="D201" s="663"/>
      <c r="K201" s="662">
        <v>2</v>
      </c>
      <c r="O201" s="662">
        <v>1</v>
      </c>
      <c r="P201" s="662">
        <v>1</v>
      </c>
      <c r="Q201" s="681">
        <f t="shared" si="68"/>
        <v>4</v>
      </c>
      <c r="R201" s="691"/>
      <c r="S201" s="662">
        <v>1</v>
      </c>
      <c r="T201" s="662">
        <v>1</v>
      </c>
      <c r="W201" s="683">
        <v>0</v>
      </c>
      <c r="X201" s="683">
        <v>0</v>
      </c>
      <c r="Y201" s="683">
        <v>0</v>
      </c>
      <c r="Z201" s="683">
        <v>0</v>
      </c>
      <c r="AA201" s="683">
        <v>0</v>
      </c>
      <c r="AB201" s="683">
        <v>0</v>
      </c>
      <c r="AC201" s="683">
        <v>0</v>
      </c>
      <c r="AD201" s="683">
        <v>0</v>
      </c>
      <c r="AE201" s="684">
        <f t="shared" si="56"/>
        <v>2</v>
      </c>
      <c r="AG201" s="692">
        <v>0</v>
      </c>
      <c r="AH201" s="692">
        <v>0</v>
      </c>
      <c r="AI201" s="692">
        <v>0</v>
      </c>
      <c r="AJ201" s="692">
        <v>0</v>
      </c>
      <c r="AK201" s="692">
        <v>0</v>
      </c>
      <c r="AL201" s="692">
        <v>0</v>
      </c>
      <c r="AM201" s="692">
        <v>0</v>
      </c>
      <c r="AN201" s="692">
        <v>0</v>
      </c>
      <c r="AO201" s="692">
        <v>0</v>
      </c>
      <c r="AP201" s="692">
        <v>0</v>
      </c>
      <c r="AQ201" s="692">
        <v>0</v>
      </c>
      <c r="AR201" s="692">
        <v>0</v>
      </c>
      <c r="AS201" s="685">
        <f t="shared" si="63"/>
        <v>0</v>
      </c>
      <c r="AU201" s="686">
        <f t="shared" si="69"/>
        <v>4</v>
      </c>
      <c r="AV201" s="665">
        <f t="shared" si="53"/>
        <v>2</v>
      </c>
      <c r="AW201" s="687">
        <f t="shared" si="70"/>
        <v>-0.5</v>
      </c>
      <c r="AX201" s="663">
        <f t="shared" si="71"/>
        <v>0</v>
      </c>
      <c r="AY201" s="687">
        <f t="shared" ref="AY201:AY263" si="73">(AX201/AV201)-1</f>
        <v>-1</v>
      </c>
      <c r="AZ201" s="687"/>
      <c r="BA201" s="687"/>
      <c r="BC201" s="688">
        <f t="shared" si="72"/>
        <v>1.643835616438356E-2</v>
      </c>
    </row>
    <row r="202" spans="1:55" x14ac:dyDescent="0.25">
      <c r="C202" s="662" t="s">
        <v>939</v>
      </c>
      <c r="D202" s="663"/>
      <c r="E202" s="662">
        <v>10</v>
      </c>
      <c r="F202" s="662">
        <v>21</v>
      </c>
      <c r="G202" s="662">
        <v>21</v>
      </c>
      <c r="H202" s="662">
        <v>7</v>
      </c>
      <c r="I202" s="662">
        <v>8</v>
      </c>
      <c r="J202" s="662">
        <v>12</v>
      </c>
      <c r="K202" s="662">
        <v>21</v>
      </c>
      <c r="L202" s="662">
        <v>8</v>
      </c>
      <c r="M202" s="662">
        <v>8</v>
      </c>
      <c r="N202" s="662">
        <v>16</v>
      </c>
      <c r="O202" s="662">
        <v>16</v>
      </c>
      <c r="P202" s="662">
        <v>18</v>
      </c>
      <c r="Q202" s="681">
        <f t="shared" si="68"/>
        <v>166</v>
      </c>
      <c r="R202" s="691"/>
      <c r="S202" s="662">
        <v>10</v>
      </c>
      <c r="T202" s="662">
        <v>12</v>
      </c>
      <c r="U202" s="662">
        <v>6</v>
      </c>
      <c r="V202" s="662">
        <v>15</v>
      </c>
      <c r="W202" s="683">
        <v>12</v>
      </c>
      <c r="X202" s="683">
        <v>13</v>
      </c>
      <c r="Y202" s="683">
        <v>13</v>
      </c>
      <c r="Z202" s="683">
        <v>12</v>
      </c>
      <c r="AA202" s="683">
        <v>13</v>
      </c>
      <c r="AB202" s="683">
        <v>12</v>
      </c>
      <c r="AC202" s="683">
        <v>12</v>
      </c>
      <c r="AD202" s="683">
        <v>12</v>
      </c>
      <c r="AE202" s="684">
        <f t="shared" si="56"/>
        <v>142</v>
      </c>
      <c r="AG202" s="692">
        <v>12</v>
      </c>
      <c r="AH202" s="692">
        <v>12</v>
      </c>
      <c r="AI202" s="692">
        <v>12</v>
      </c>
      <c r="AJ202" s="692">
        <v>12</v>
      </c>
      <c r="AK202" s="692">
        <v>12</v>
      </c>
      <c r="AL202" s="692">
        <v>12</v>
      </c>
      <c r="AM202" s="692">
        <v>12</v>
      </c>
      <c r="AN202" s="692">
        <v>12</v>
      </c>
      <c r="AO202" s="692">
        <v>12</v>
      </c>
      <c r="AP202" s="692">
        <v>12</v>
      </c>
      <c r="AQ202" s="692">
        <v>12</v>
      </c>
      <c r="AR202" s="692">
        <v>12</v>
      </c>
      <c r="AS202" s="685">
        <f t="shared" si="63"/>
        <v>144</v>
      </c>
      <c r="AU202" s="686">
        <f t="shared" si="69"/>
        <v>166</v>
      </c>
      <c r="AV202" s="665">
        <f t="shared" ref="AV202:AV265" si="74">AE202</f>
        <v>142</v>
      </c>
      <c r="AW202" s="687">
        <f t="shared" si="70"/>
        <v>-0.14457831325301207</v>
      </c>
      <c r="AX202" s="663">
        <f t="shared" si="71"/>
        <v>144</v>
      </c>
      <c r="AY202" s="687">
        <f t="shared" si="73"/>
        <v>1.4084507042253502E-2</v>
      </c>
      <c r="AZ202" s="687"/>
      <c r="BA202" s="687"/>
      <c r="BC202" s="688">
        <f t="shared" si="72"/>
        <v>0.41095890410958902</v>
      </c>
    </row>
    <row r="203" spans="1:55" x14ac:dyDescent="0.25">
      <c r="C203" s="662" t="s">
        <v>1059</v>
      </c>
      <c r="D203" s="663"/>
      <c r="L203" s="662">
        <v>1</v>
      </c>
      <c r="Q203" s="681">
        <f t="shared" si="68"/>
        <v>1</v>
      </c>
      <c r="R203" s="691"/>
      <c r="W203" s="683">
        <f t="shared" ref="W203:AD219" si="75">$BC203*W$1</f>
        <v>8.2191780821917804E-2</v>
      </c>
      <c r="X203" s="683">
        <f t="shared" si="75"/>
        <v>8.4931506849315067E-2</v>
      </c>
      <c r="Y203" s="683">
        <f t="shared" si="75"/>
        <v>8.4931506849315067E-2</v>
      </c>
      <c r="Z203" s="683">
        <f t="shared" si="75"/>
        <v>7.6712328767123292E-2</v>
      </c>
      <c r="AA203" s="683">
        <f t="shared" si="75"/>
        <v>8.4931506849315067E-2</v>
      </c>
      <c r="AB203" s="683">
        <f t="shared" si="75"/>
        <v>8.2191780821917804E-2</v>
      </c>
      <c r="AC203" s="683">
        <f t="shared" si="75"/>
        <v>8.4931506849315067E-2</v>
      </c>
      <c r="AD203" s="683">
        <f t="shared" si="75"/>
        <v>8.2191780821917804E-2</v>
      </c>
      <c r="AE203" s="684">
        <f t="shared" si="56"/>
        <v>0.66301369863013693</v>
      </c>
      <c r="AG203" s="692">
        <v>0</v>
      </c>
      <c r="AH203" s="692">
        <v>0</v>
      </c>
      <c r="AI203" s="692">
        <v>0</v>
      </c>
      <c r="AJ203" s="692">
        <v>0</v>
      </c>
      <c r="AK203" s="692">
        <v>0</v>
      </c>
      <c r="AL203" s="692">
        <v>0</v>
      </c>
      <c r="AM203" s="692">
        <v>0</v>
      </c>
      <c r="AN203" s="692">
        <v>0</v>
      </c>
      <c r="AO203" s="692">
        <v>0</v>
      </c>
      <c r="AP203" s="692">
        <v>0</v>
      </c>
      <c r="AQ203" s="692">
        <v>0</v>
      </c>
      <c r="AR203" s="692">
        <v>0</v>
      </c>
      <c r="AS203" s="685">
        <f t="shared" si="63"/>
        <v>0</v>
      </c>
      <c r="AU203" s="686">
        <f t="shared" si="69"/>
        <v>1</v>
      </c>
      <c r="AV203" s="665">
        <f t="shared" si="74"/>
        <v>0.66301369863013693</v>
      </c>
      <c r="AW203" s="687">
        <f t="shared" si="70"/>
        <v>-0.33698630136986307</v>
      </c>
      <c r="AX203" s="663">
        <f t="shared" si="71"/>
        <v>0</v>
      </c>
      <c r="AY203" s="687">
        <f t="shared" si="73"/>
        <v>-1</v>
      </c>
      <c r="AZ203" s="687"/>
      <c r="BA203" s="687"/>
      <c r="BC203" s="688">
        <f t="shared" si="72"/>
        <v>2.7397260273972603E-3</v>
      </c>
    </row>
    <row r="204" spans="1:55" x14ac:dyDescent="0.25">
      <c r="B204" s="662" t="s">
        <v>1092</v>
      </c>
      <c r="C204" s="662" t="s">
        <v>932</v>
      </c>
      <c r="D204" s="663"/>
      <c r="H204" s="662">
        <v>1</v>
      </c>
      <c r="M204" s="662">
        <v>1</v>
      </c>
      <c r="P204" s="662">
        <v>1</v>
      </c>
      <c r="Q204" s="681">
        <f t="shared" si="68"/>
        <v>3</v>
      </c>
      <c r="R204" s="691"/>
      <c r="W204" s="683">
        <f t="shared" si="75"/>
        <v>0.16438356164383561</v>
      </c>
      <c r="X204" s="683">
        <f t="shared" si="75"/>
        <v>0.16986301369863013</v>
      </c>
      <c r="Y204" s="683">
        <f t="shared" si="75"/>
        <v>0.16986301369863013</v>
      </c>
      <c r="Z204" s="683">
        <f t="shared" si="75"/>
        <v>0.15342465753424658</v>
      </c>
      <c r="AA204" s="683">
        <f t="shared" si="75"/>
        <v>0.16986301369863013</v>
      </c>
      <c r="AB204" s="683">
        <f t="shared" si="75"/>
        <v>0.16438356164383561</v>
      </c>
      <c r="AC204" s="683">
        <f t="shared" si="75"/>
        <v>0.16986301369863013</v>
      </c>
      <c r="AD204" s="683">
        <f t="shared" si="75"/>
        <v>0.16438356164383561</v>
      </c>
      <c r="AE204" s="684">
        <f t="shared" si="56"/>
        <v>1.3260273972602739</v>
      </c>
      <c r="AG204" s="692">
        <v>0</v>
      </c>
      <c r="AH204" s="692">
        <v>0</v>
      </c>
      <c r="AI204" s="692">
        <v>0</v>
      </c>
      <c r="AJ204" s="692">
        <v>0</v>
      </c>
      <c r="AK204" s="692">
        <v>0</v>
      </c>
      <c r="AL204" s="692">
        <v>0</v>
      </c>
      <c r="AM204" s="692">
        <v>0</v>
      </c>
      <c r="AN204" s="692">
        <v>0</v>
      </c>
      <c r="AO204" s="692">
        <v>0</v>
      </c>
      <c r="AP204" s="692">
        <v>0</v>
      </c>
      <c r="AQ204" s="692">
        <v>0</v>
      </c>
      <c r="AR204" s="692">
        <v>0</v>
      </c>
      <c r="AS204" s="685">
        <f t="shared" si="63"/>
        <v>0</v>
      </c>
      <c r="AU204" s="686">
        <f t="shared" si="69"/>
        <v>3</v>
      </c>
      <c r="AV204" s="665">
        <f t="shared" si="74"/>
        <v>1.3260273972602739</v>
      </c>
      <c r="AW204" s="687">
        <f t="shared" si="70"/>
        <v>-0.55799086757990879</v>
      </c>
      <c r="AX204" s="663">
        <f t="shared" si="71"/>
        <v>0</v>
      </c>
      <c r="AY204" s="687">
        <f t="shared" si="73"/>
        <v>-1</v>
      </c>
      <c r="AZ204" s="687"/>
      <c r="BA204" s="687"/>
      <c r="BC204" s="688">
        <f t="shared" si="72"/>
        <v>5.4794520547945206E-3</v>
      </c>
    </row>
    <row r="205" spans="1:55" x14ac:dyDescent="0.25">
      <c r="C205" s="662" t="s">
        <v>939</v>
      </c>
      <c r="D205" s="663"/>
      <c r="E205" s="662">
        <v>20</v>
      </c>
      <c r="F205" s="662">
        <v>17</v>
      </c>
      <c r="G205" s="662">
        <v>23</v>
      </c>
      <c r="H205" s="662">
        <v>13</v>
      </c>
      <c r="I205" s="662">
        <v>13</v>
      </c>
      <c r="J205" s="662">
        <v>19</v>
      </c>
      <c r="K205" s="662">
        <v>15</v>
      </c>
      <c r="L205" s="662">
        <v>15</v>
      </c>
      <c r="M205" s="662">
        <v>9</v>
      </c>
      <c r="N205" s="662">
        <v>15</v>
      </c>
      <c r="O205" s="662">
        <v>18</v>
      </c>
      <c r="P205" s="662">
        <v>11</v>
      </c>
      <c r="Q205" s="681">
        <f t="shared" si="68"/>
        <v>188</v>
      </c>
      <c r="R205" s="691"/>
      <c r="S205" s="662">
        <v>24</v>
      </c>
      <c r="T205" s="662">
        <v>23</v>
      </c>
      <c r="U205" s="662">
        <v>15</v>
      </c>
      <c r="V205" s="662">
        <v>8</v>
      </c>
      <c r="W205" s="683">
        <v>13</v>
      </c>
      <c r="X205" s="683">
        <v>19</v>
      </c>
      <c r="Y205" s="683">
        <v>15</v>
      </c>
      <c r="Z205" s="683">
        <v>15</v>
      </c>
      <c r="AA205" s="683">
        <v>9</v>
      </c>
      <c r="AB205" s="683">
        <v>15</v>
      </c>
      <c r="AC205" s="683">
        <v>18</v>
      </c>
      <c r="AD205" s="683">
        <v>11</v>
      </c>
      <c r="AE205" s="684">
        <f t="shared" si="56"/>
        <v>185</v>
      </c>
      <c r="AG205" s="692">
        <v>16</v>
      </c>
      <c r="AH205" s="692">
        <v>16</v>
      </c>
      <c r="AI205" s="692">
        <v>16</v>
      </c>
      <c r="AJ205" s="692">
        <v>16</v>
      </c>
      <c r="AK205" s="692">
        <v>16</v>
      </c>
      <c r="AL205" s="692">
        <v>16</v>
      </c>
      <c r="AM205" s="692">
        <v>16</v>
      </c>
      <c r="AN205" s="692">
        <v>16</v>
      </c>
      <c r="AO205" s="692">
        <v>16</v>
      </c>
      <c r="AP205" s="692">
        <v>16</v>
      </c>
      <c r="AQ205" s="692">
        <v>16</v>
      </c>
      <c r="AR205" s="692">
        <v>16</v>
      </c>
      <c r="AS205" s="685">
        <f t="shared" si="63"/>
        <v>192</v>
      </c>
      <c r="AU205" s="686">
        <f t="shared" si="69"/>
        <v>188</v>
      </c>
      <c r="AV205" s="665">
        <f t="shared" si="74"/>
        <v>185</v>
      </c>
      <c r="AW205" s="687">
        <f t="shared" si="70"/>
        <v>-1.5957446808510634E-2</v>
      </c>
      <c r="AX205" s="663">
        <f t="shared" si="71"/>
        <v>192</v>
      </c>
      <c r="AY205" s="687">
        <f t="shared" si="73"/>
        <v>3.7837837837837895E-2</v>
      </c>
      <c r="AZ205" s="687"/>
      <c r="BA205" s="687"/>
      <c r="BC205" s="688">
        <f t="shared" si="72"/>
        <v>0.50684931506849318</v>
      </c>
    </row>
    <row r="206" spans="1:55" x14ac:dyDescent="0.25">
      <c r="B206" s="662" t="s">
        <v>1093</v>
      </c>
      <c r="C206" s="662" t="s">
        <v>932</v>
      </c>
      <c r="D206" s="663" t="s">
        <v>945</v>
      </c>
      <c r="E206" s="662">
        <v>7</v>
      </c>
      <c r="F206" s="662">
        <v>13</v>
      </c>
      <c r="G206" s="662">
        <v>13</v>
      </c>
      <c r="H206" s="662">
        <v>33</v>
      </c>
      <c r="I206" s="662">
        <v>16</v>
      </c>
      <c r="Q206" s="681">
        <f t="shared" si="68"/>
        <v>82</v>
      </c>
      <c r="R206" s="691"/>
      <c r="W206" s="683">
        <v>0</v>
      </c>
      <c r="X206" s="683">
        <v>0</v>
      </c>
      <c r="Y206" s="683">
        <v>0</v>
      </c>
      <c r="Z206" s="683">
        <v>0</v>
      </c>
      <c r="AA206" s="683">
        <v>0</v>
      </c>
      <c r="AB206" s="683">
        <v>0</v>
      </c>
      <c r="AC206" s="683">
        <v>0</v>
      </c>
      <c r="AD206" s="683">
        <v>0</v>
      </c>
      <c r="AE206" s="684">
        <f t="shared" si="56"/>
        <v>0</v>
      </c>
      <c r="AG206" s="692">
        <v>0</v>
      </c>
      <c r="AH206" s="692">
        <v>0</v>
      </c>
      <c r="AI206" s="692">
        <v>0</v>
      </c>
      <c r="AJ206" s="692">
        <v>0</v>
      </c>
      <c r="AK206" s="692">
        <v>0</v>
      </c>
      <c r="AL206" s="692">
        <v>0</v>
      </c>
      <c r="AM206" s="692">
        <v>0</v>
      </c>
      <c r="AN206" s="692">
        <v>0</v>
      </c>
      <c r="AO206" s="692">
        <v>0</v>
      </c>
      <c r="AP206" s="692">
        <v>0</v>
      </c>
      <c r="AQ206" s="692">
        <v>0</v>
      </c>
      <c r="AR206" s="692">
        <v>0</v>
      </c>
      <c r="AS206" s="685">
        <f t="shared" si="63"/>
        <v>0</v>
      </c>
      <c r="AU206" s="686">
        <f t="shared" si="69"/>
        <v>82</v>
      </c>
      <c r="AV206" s="665">
        <f t="shared" si="74"/>
        <v>0</v>
      </c>
      <c r="AW206" s="687">
        <f t="shared" si="70"/>
        <v>-1</v>
      </c>
      <c r="AX206" s="663">
        <f t="shared" si="71"/>
        <v>0</v>
      </c>
      <c r="AY206" s="687">
        <v>0</v>
      </c>
      <c r="AZ206" s="687"/>
      <c r="BA206" s="687"/>
      <c r="BC206" s="688">
        <f t="shared" si="72"/>
        <v>4.3835616438356165E-2</v>
      </c>
    </row>
    <row r="207" spans="1:55" x14ac:dyDescent="0.25">
      <c r="C207" s="662" t="s">
        <v>939</v>
      </c>
      <c r="D207" s="663" t="s">
        <v>945</v>
      </c>
      <c r="E207" s="662">
        <v>7</v>
      </c>
      <c r="F207" s="662">
        <v>18</v>
      </c>
      <c r="G207" s="662">
        <v>12</v>
      </c>
      <c r="H207" s="662">
        <v>17</v>
      </c>
      <c r="I207" s="662">
        <v>8</v>
      </c>
      <c r="Q207" s="681">
        <f t="shared" si="68"/>
        <v>62</v>
      </c>
      <c r="R207" s="691"/>
      <c r="W207" s="683">
        <v>0</v>
      </c>
      <c r="X207" s="683">
        <v>0</v>
      </c>
      <c r="Y207" s="683">
        <v>0</v>
      </c>
      <c r="Z207" s="683">
        <v>0</v>
      </c>
      <c r="AA207" s="683">
        <v>0</v>
      </c>
      <c r="AB207" s="683">
        <v>0</v>
      </c>
      <c r="AC207" s="683">
        <v>0</v>
      </c>
      <c r="AD207" s="683">
        <v>0</v>
      </c>
      <c r="AE207" s="684">
        <f t="shared" ref="AE207:AE270" si="76">SUM(S207:AD207)</f>
        <v>0</v>
      </c>
      <c r="AG207" s="692">
        <v>0</v>
      </c>
      <c r="AH207" s="692">
        <v>0</v>
      </c>
      <c r="AI207" s="692">
        <v>0</v>
      </c>
      <c r="AJ207" s="692">
        <v>0</v>
      </c>
      <c r="AK207" s="692">
        <v>0</v>
      </c>
      <c r="AL207" s="692">
        <v>0</v>
      </c>
      <c r="AM207" s="692">
        <v>0</v>
      </c>
      <c r="AN207" s="692">
        <v>0</v>
      </c>
      <c r="AO207" s="692">
        <v>0</v>
      </c>
      <c r="AP207" s="692">
        <v>0</v>
      </c>
      <c r="AQ207" s="692">
        <v>0</v>
      </c>
      <c r="AR207" s="692">
        <v>0</v>
      </c>
      <c r="AS207" s="685">
        <f t="shared" si="63"/>
        <v>0</v>
      </c>
      <c r="AU207" s="686">
        <f t="shared" si="69"/>
        <v>62</v>
      </c>
      <c r="AV207" s="665">
        <f t="shared" si="74"/>
        <v>0</v>
      </c>
      <c r="AW207" s="687">
        <f t="shared" si="70"/>
        <v>-1</v>
      </c>
      <c r="AX207" s="663">
        <f t="shared" si="71"/>
        <v>0</v>
      </c>
      <c r="AY207" s="687">
        <v>0</v>
      </c>
      <c r="AZ207" s="687"/>
      <c r="BA207" s="687"/>
      <c r="BC207" s="688">
        <f t="shared" si="72"/>
        <v>2.1917808219178082E-2</v>
      </c>
    </row>
    <row r="208" spans="1:55" x14ac:dyDescent="0.25">
      <c r="C208" s="662" t="s">
        <v>961</v>
      </c>
      <c r="D208" s="663" t="s">
        <v>945</v>
      </c>
      <c r="F208" s="662">
        <v>1</v>
      </c>
      <c r="Q208" s="681">
        <f t="shared" si="68"/>
        <v>1</v>
      </c>
      <c r="R208" s="691"/>
      <c r="W208" s="683">
        <v>0</v>
      </c>
      <c r="X208" s="683">
        <v>0</v>
      </c>
      <c r="Y208" s="683">
        <v>0</v>
      </c>
      <c r="Z208" s="683">
        <v>0</v>
      </c>
      <c r="AA208" s="683">
        <v>0</v>
      </c>
      <c r="AB208" s="683">
        <v>0</v>
      </c>
      <c r="AC208" s="683">
        <v>0</v>
      </c>
      <c r="AD208" s="683">
        <f t="shared" si="75"/>
        <v>0</v>
      </c>
      <c r="AE208" s="684">
        <f t="shared" si="76"/>
        <v>0</v>
      </c>
      <c r="AG208" s="692">
        <v>0</v>
      </c>
      <c r="AH208" s="692">
        <v>0</v>
      </c>
      <c r="AI208" s="692">
        <v>0</v>
      </c>
      <c r="AJ208" s="692">
        <v>0</v>
      </c>
      <c r="AK208" s="692">
        <v>0</v>
      </c>
      <c r="AL208" s="692">
        <v>0</v>
      </c>
      <c r="AM208" s="692">
        <v>0</v>
      </c>
      <c r="AN208" s="692">
        <v>0</v>
      </c>
      <c r="AO208" s="692">
        <v>0</v>
      </c>
      <c r="AP208" s="692">
        <v>0</v>
      </c>
      <c r="AQ208" s="692">
        <v>0</v>
      </c>
      <c r="AR208" s="692">
        <v>0</v>
      </c>
      <c r="AS208" s="685">
        <f t="shared" si="63"/>
        <v>0</v>
      </c>
      <c r="AU208" s="686">
        <f t="shared" si="69"/>
        <v>1</v>
      </c>
      <c r="AV208" s="665">
        <f t="shared" si="74"/>
        <v>0</v>
      </c>
      <c r="AW208" s="687">
        <f t="shared" si="70"/>
        <v>-1</v>
      </c>
      <c r="AX208" s="663">
        <f t="shared" si="71"/>
        <v>0</v>
      </c>
      <c r="AY208" s="687">
        <v>0</v>
      </c>
      <c r="AZ208" s="687"/>
      <c r="BA208" s="687"/>
      <c r="BC208" s="688">
        <f t="shared" si="72"/>
        <v>0</v>
      </c>
    </row>
    <row r="209" spans="2:55" x14ac:dyDescent="0.25">
      <c r="B209" s="662" t="s">
        <v>1094</v>
      </c>
      <c r="C209" s="662" t="s">
        <v>932</v>
      </c>
      <c r="D209" s="663"/>
      <c r="J209" s="662">
        <v>1</v>
      </c>
      <c r="K209" s="662">
        <v>4</v>
      </c>
      <c r="L209" s="662">
        <v>6</v>
      </c>
      <c r="M209" s="662">
        <v>2</v>
      </c>
      <c r="O209" s="662">
        <v>3</v>
      </c>
      <c r="P209" s="691"/>
      <c r="Q209" s="681">
        <f t="shared" si="68"/>
        <v>16</v>
      </c>
      <c r="R209" s="691"/>
      <c r="S209" s="662">
        <v>2</v>
      </c>
      <c r="T209" s="662">
        <v>1</v>
      </c>
      <c r="W209" s="683">
        <v>2</v>
      </c>
      <c r="X209" s="683">
        <v>2</v>
      </c>
      <c r="Y209" s="683">
        <v>2</v>
      </c>
      <c r="Z209" s="683">
        <v>2</v>
      </c>
      <c r="AA209" s="683">
        <v>0</v>
      </c>
      <c r="AB209" s="683">
        <v>1</v>
      </c>
      <c r="AC209" s="683">
        <v>2</v>
      </c>
      <c r="AD209" s="683">
        <v>2</v>
      </c>
      <c r="AE209" s="684">
        <f t="shared" si="76"/>
        <v>16</v>
      </c>
      <c r="AG209" s="692">
        <v>2</v>
      </c>
      <c r="AH209" s="692">
        <v>1</v>
      </c>
      <c r="AI209" s="692">
        <v>1</v>
      </c>
      <c r="AJ209" s="692">
        <v>2</v>
      </c>
      <c r="AK209" s="692">
        <v>1</v>
      </c>
      <c r="AL209" s="692">
        <v>1</v>
      </c>
      <c r="AM209" s="692">
        <v>2</v>
      </c>
      <c r="AN209" s="692">
        <v>1</v>
      </c>
      <c r="AO209" s="692">
        <v>1</v>
      </c>
      <c r="AP209" s="692">
        <v>2</v>
      </c>
      <c r="AQ209" s="692">
        <v>1</v>
      </c>
      <c r="AR209" s="692">
        <v>1</v>
      </c>
      <c r="AS209" s="685">
        <f t="shared" si="63"/>
        <v>16</v>
      </c>
      <c r="AU209" s="686">
        <f t="shared" si="69"/>
        <v>16</v>
      </c>
      <c r="AV209" s="665">
        <f t="shared" si="74"/>
        <v>16</v>
      </c>
      <c r="AW209" s="687">
        <f t="shared" si="70"/>
        <v>0</v>
      </c>
      <c r="AX209" s="663">
        <f t="shared" si="71"/>
        <v>16</v>
      </c>
      <c r="AY209" s="687">
        <f t="shared" si="73"/>
        <v>0</v>
      </c>
      <c r="AZ209" s="687"/>
      <c r="BA209" s="687"/>
      <c r="BC209" s="688">
        <f t="shared" si="72"/>
        <v>5.2054794520547946E-2</v>
      </c>
    </row>
    <row r="210" spans="2:55" x14ac:dyDescent="0.25">
      <c r="C210" s="662" t="s">
        <v>939</v>
      </c>
      <c r="D210" s="663"/>
      <c r="E210" s="664">
        <v>30</v>
      </c>
      <c r="F210" s="664">
        <v>17</v>
      </c>
      <c r="G210" s="664">
        <v>19</v>
      </c>
      <c r="H210" s="664">
        <v>31</v>
      </c>
      <c r="I210" s="664">
        <v>28</v>
      </c>
      <c r="J210" s="664">
        <v>12</v>
      </c>
      <c r="K210" s="664">
        <v>20</v>
      </c>
      <c r="L210" s="664">
        <v>18</v>
      </c>
      <c r="M210" s="664">
        <v>21</v>
      </c>
      <c r="N210" s="664">
        <v>15</v>
      </c>
      <c r="O210" s="664">
        <v>17</v>
      </c>
      <c r="P210" s="681">
        <v>16</v>
      </c>
      <c r="Q210" s="681">
        <f t="shared" si="68"/>
        <v>244</v>
      </c>
      <c r="R210" s="681"/>
      <c r="S210" s="662">
        <v>20</v>
      </c>
      <c r="T210" s="662">
        <v>23</v>
      </c>
      <c r="U210" s="662">
        <v>19</v>
      </c>
      <c r="V210" s="662">
        <v>20</v>
      </c>
      <c r="W210" s="683">
        <v>28</v>
      </c>
      <c r="X210" s="683">
        <v>12</v>
      </c>
      <c r="Y210" s="683">
        <v>20</v>
      </c>
      <c r="Z210" s="683">
        <v>18</v>
      </c>
      <c r="AA210" s="683">
        <v>21</v>
      </c>
      <c r="AB210" s="683">
        <v>15</v>
      </c>
      <c r="AC210" s="683">
        <v>17</v>
      </c>
      <c r="AD210" s="683">
        <v>16</v>
      </c>
      <c r="AE210" s="684">
        <f t="shared" si="76"/>
        <v>229</v>
      </c>
      <c r="AG210" s="684">
        <v>21</v>
      </c>
      <c r="AH210" s="684">
        <v>21</v>
      </c>
      <c r="AI210" s="692">
        <v>21</v>
      </c>
      <c r="AJ210" s="692">
        <v>21</v>
      </c>
      <c r="AK210" s="692">
        <v>20</v>
      </c>
      <c r="AL210" s="692">
        <v>20</v>
      </c>
      <c r="AM210" s="692">
        <v>20</v>
      </c>
      <c r="AN210" s="692">
        <v>20</v>
      </c>
      <c r="AO210" s="692">
        <v>20</v>
      </c>
      <c r="AP210" s="692">
        <v>20</v>
      </c>
      <c r="AQ210" s="692">
        <v>20</v>
      </c>
      <c r="AR210" s="692">
        <v>20</v>
      </c>
      <c r="AS210" s="685">
        <f t="shared" si="63"/>
        <v>244</v>
      </c>
      <c r="AU210" s="686">
        <f t="shared" si="69"/>
        <v>244</v>
      </c>
      <c r="AV210" s="665">
        <f t="shared" si="74"/>
        <v>229</v>
      </c>
      <c r="AW210" s="687">
        <f t="shared" si="70"/>
        <v>-6.1475409836065587E-2</v>
      </c>
      <c r="AX210" s="663">
        <f t="shared" si="71"/>
        <v>244</v>
      </c>
      <c r="AY210" s="687">
        <f t="shared" si="73"/>
        <v>6.5502183406113579E-2</v>
      </c>
      <c r="AZ210" s="687"/>
      <c r="BA210" s="687"/>
      <c r="BC210" s="688">
        <f t="shared" si="72"/>
        <v>0.62739726027397258</v>
      </c>
    </row>
    <row r="211" spans="2:55" x14ac:dyDescent="0.25">
      <c r="C211" s="662" t="s">
        <v>961</v>
      </c>
      <c r="D211" s="663"/>
      <c r="H211" s="662">
        <v>1</v>
      </c>
      <c r="Q211" s="681">
        <f t="shared" si="68"/>
        <v>1</v>
      </c>
      <c r="R211" s="691"/>
      <c r="W211" s="683">
        <f t="shared" si="75"/>
        <v>0</v>
      </c>
      <c r="X211" s="683">
        <f t="shared" si="75"/>
        <v>0</v>
      </c>
      <c r="Y211" s="683">
        <f t="shared" si="75"/>
        <v>0</v>
      </c>
      <c r="Z211" s="683">
        <f t="shared" si="75"/>
        <v>0</v>
      </c>
      <c r="AA211" s="683">
        <f t="shared" si="75"/>
        <v>0</v>
      </c>
      <c r="AB211" s="683">
        <f t="shared" si="75"/>
        <v>0</v>
      </c>
      <c r="AC211" s="683">
        <f t="shared" si="75"/>
        <v>0</v>
      </c>
      <c r="AD211" s="683">
        <f t="shared" si="75"/>
        <v>0</v>
      </c>
      <c r="AE211" s="684">
        <f t="shared" si="76"/>
        <v>0</v>
      </c>
      <c r="AG211" s="692">
        <v>0</v>
      </c>
      <c r="AH211" s="692">
        <v>0</v>
      </c>
      <c r="AI211" s="692">
        <v>0</v>
      </c>
      <c r="AJ211" s="692">
        <v>0</v>
      </c>
      <c r="AK211" s="692">
        <v>0</v>
      </c>
      <c r="AL211" s="692">
        <v>0</v>
      </c>
      <c r="AM211" s="692">
        <v>0</v>
      </c>
      <c r="AN211" s="692">
        <v>0</v>
      </c>
      <c r="AO211" s="692">
        <v>0</v>
      </c>
      <c r="AP211" s="692">
        <v>0</v>
      </c>
      <c r="AQ211" s="692">
        <v>0</v>
      </c>
      <c r="AR211" s="692">
        <v>0</v>
      </c>
      <c r="AS211" s="685">
        <f t="shared" si="63"/>
        <v>0</v>
      </c>
      <c r="AU211" s="686">
        <f t="shared" si="69"/>
        <v>1</v>
      </c>
      <c r="AV211" s="665">
        <f t="shared" si="74"/>
        <v>0</v>
      </c>
      <c r="AW211" s="687">
        <f t="shared" si="70"/>
        <v>-1</v>
      </c>
      <c r="AX211" s="663">
        <f t="shared" si="71"/>
        <v>0</v>
      </c>
      <c r="AY211" s="687">
        <v>0</v>
      </c>
      <c r="AZ211" s="687"/>
      <c r="BA211" s="687"/>
      <c r="BC211" s="688">
        <f t="shared" si="72"/>
        <v>0</v>
      </c>
    </row>
    <row r="212" spans="2:55" x14ac:dyDescent="0.25">
      <c r="B212" s="662" t="s">
        <v>1095</v>
      </c>
      <c r="C212" s="662" t="s">
        <v>932</v>
      </c>
      <c r="D212" s="663" t="s">
        <v>945</v>
      </c>
      <c r="J212" s="662">
        <v>1</v>
      </c>
      <c r="Q212" s="681">
        <f t="shared" si="68"/>
        <v>1</v>
      </c>
      <c r="R212" s="691"/>
      <c r="W212" s="683">
        <v>0</v>
      </c>
      <c r="X212" s="683">
        <v>0</v>
      </c>
      <c r="Y212" s="683">
        <v>0</v>
      </c>
      <c r="Z212" s="683">
        <v>0</v>
      </c>
      <c r="AA212" s="683">
        <v>0</v>
      </c>
      <c r="AB212" s="683">
        <v>0</v>
      </c>
      <c r="AC212" s="683">
        <v>0</v>
      </c>
      <c r="AD212" s="683">
        <v>0</v>
      </c>
      <c r="AE212" s="684">
        <f t="shared" si="76"/>
        <v>0</v>
      </c>
      <c r="AG212" s="692">
        <v>0</v>
      </c>
      <c r="AH212" s="692">
        <v>0</v>
      </c>
      <c r="AI212" s="692">
        <v>0</v>
      </c>
      <c r="AJ212" s="692">
        <v>0</v>
      </c>
      <c r="AK212" s="692">
        <v>0</v>
      </c>
      <c r="AL212" s="692">
        <v>0</v>
      </c>
      <c r="AM212" s="692">
        <v>0</v>
      </c>
      <c r="AN212" s="692">
        <v>0</v>
      </c>
      <c r="AO212" s="692">
        <v>0</v>
      </c>
      <c r="AP212" s="692">
        <v>0</v>
      </c>
      <c r="AQ212" s="692">
        <v>0</v>
      </c>
      <c r="AR212" s="692">
        <v>0</v>
      </c>
      <c r="AS212" s="685">
        <f t="shared" si="63"/>
        <v>0</v>
      </c>
      <c r="AU212" s="686">
        <f t="shared" si="69"/>
        <v>1</v>
      </c>
      <c r="AV212" s="665">
        <f t="shared" si="74"/>
        <v>0</v>
      </c>
      <c r="AW212" s="687">
        <f t="shared" si="70"/>
        <v>-1</v>
      </c>
      <c r="AX212" s="663">
        <f t="shared" si="71"/>
        <v>0</v>
      </c>
      <c r="AY212" s="687">
        <v>0</v>
      </c>
      <c r="AZ212" s="687"/>
      <c r="BA212" s="687"/>
      <c r="BC212" s="688">
        <f t="shared" si="72"/>
        <v>2.7397260273972603E-3</v>
      </c>
    </row>
    <row r="213" spans="2:55" x14ac:dyDescent="0.25">
      <c r="C213" s="662" t="s">
        <v>939</v>
      </c>
      <c r="D213" s="663" t="s">
        <v>945</v>
      </c>
      <c r="E213" s="662">
        <v>13</v>
      </c>
      <c r="F213" s="662">
        <v>13</v>
      </c>
      <c r="G213" s="662">
        <v>22</v>
      </c>
      <c r="H213" s="662">
        <v>6</v>
      </c>
      <c r="I213" s="662">
        <v>19</v>
      </c>
      <c r="J213" s="662">
        <v>16</v>
      </c>
      <c r="Q213" s="681">
        <f t="shared" si="68"/>
        <v>89</v>
      </c>
      <c r="R213" s="691"/>
      <c r="W213" s="683">
        <v>0</v>
      </c>
      <c r="X213" s="683">
        <v>0</v>
      </c>
      <c r="Y213" s="683">
        <v>0</v>
      </c>
      <c r="Z213" s="683">
        <v>0</v>
      </c>
      <c r="AA213" s="683">
        <v>0</v>
      </c>
      <c r="AB213" s="683">
        <v>0</v>
      </c>
      <c r="AC213" s="683">
        <v>0</v>
      </c>
      <c r="AD213" s="683">
        <v>0</v>
      </c>
      <c r="AE213" s="684">
        <f t="shared" si="76"/>
        <v>0</v>
      </c>
      <c r="AG213" s="692">
        <v>0</v>
      </c>
      <c r="AH213" s="692">
        <v>0</v>
      </c>
      <c r="AI213" s="692">
        <v>0</v>
      </c>
      <c r="AJ213" s="692">
        <v>0</v>
      </c>
      <c r="AK213" s="692">
        <v>0</v>
      </c>
      <c r="AL213" s="692">
        <v>0</v>
      </c>
      <c r="AM213" s="692">
        <v>0</v>
      </c>
      <c r="AN213" s="692">
        <v>0</v>
      </c>
      <c r="AO213" s="692">
        <v>0</v>
      </c>
      <c r="AP213" s="692">
        <v>0</v>
      </c>
      <c r="AQ213" s="692">
        <v>0</v>
      </c>
      <c r="AR213" s="692">
        <v>0</v>
      </c>
      <c r="AS213" s="685">
        <f t="shared" si="63"/>
        <v>0</v>
      </c>
      <c r="AU213" s="686">
        <f t="shared" si="69"/>
        <v>89</v>
      </c>
      <c r="AV213" s="665">
        <f t="shared" si="74"/>
        <v>0</v>
      </c>
      <c r="AW213" s="687">
        <f t="shared" si="70"/>
        <v>-1</v>
      </c>
      <c r="AX213" s="663">
        <f t="shared" si="71"/>
        <v>0</v>
      </c>
      <c r="AY213" s="687">
        <v>0</v>
      </c>
      <c r="AZ213" s="687"/>
      <c r="BA213" s="687"/>
      <c r="BC213" s="688">
        <f t="shared" si="72"/>
        <v>9.5890410958904104E-2</v>
      </c>
    </row>
    <row r="214" spans="2:55" x14ac:dyDescent="0.25">
      <c r="C214" s="662" t="s">
        <v>961</v>
      </c>
      <c r="D214" s="663" t="s">
        <v>945</v>
      </c>
      <c r="F214" s="662">
        <v>1</v>
      </c>
      <c r="Q214" s="681">
        <f t="shared" si="68"/>
        <v>1</v>
      </c>
      <c r="R214" s="691"/>
      <c r="W214" s="683">
        <f t="shared" si="75"/>
        <v>0</v>
      </c>
      <c r="X214" s="683">
        <f t="shared" si="75"/>
        <v>0</v>
      </c>
      <c r="Y214" s="683">
        <f t="shared" si="75"/>
        <v>0</v>
      </c>
      <c r="Z214" s="683">
        <f t="shared" si="75"/>
        <v>0</v>
      </c>
      <c r="AA214" s="683">
        <f t="shared" si="75"/>
        <v>0</v>
      </c>
      <c r="AB214" s="683">
        <f t="shared" si="75"/>
        <v>0</v>
      </c>
      <c r="AC214" s="683">
        <f t="shared" si="75"/>
        <v>0</v>
      </c>
      <c r="AD214" s="683">
        <f t="shared" si="75"/>
        <v>0</v>
      </c>
      <c r="AE214" s="684">
        <f t="shared" si="76"/>
        <v>0</v>
      </c>
      <c r="AG214" s="692">
        <v>0</v>
      </c>
      <c r="AH214" s="692">
        <v>0</v>
      </c>
      <c r="AI214" s="692">
        <v>0</v>
      </c>
      <c r="AJ214" s="692">
        <v>0</v>
      </c>
      <c r="AK214" s="692">
        <v>0</v>
      </c>
      <c r="AL214" s="692">
        <v>0</v>
      </c>
      <c r="AM214" s="692">
        <v>0</v>
      </c>
      <c r="AN214" s="692">
        <v>0</v>
      </c>
      <c r="AO214" s="692">
        <v>0</v>
      </c>
      <c r="AP214" s="692">
        <v>0</v>
      </c>
      <c r="AQ214" s="692">
        <v>0</v>
      </c>
      <c r="AR214" s="692">
        <v>0</v>
      </c>
      <c r="AS214" s="685">
        <f t="shared" si="63"/>
        <v>0</v>
      </c>
      <c r="AU214" s="686">
        <f t="shared" si="69"/>
        <v>1</v>
      </c>
      <c r="AV214" s="665">
        <f t="shared" si="74"/>
        <v>0</v>
      </c>
      <c r="AW214" s="687">
        <f t="shared" si="70"/>
        <v>-1</v>
      </c>
      <c r="AX214" s="663">
        <f t="shared" si="71"/>
        <v>0</v>
      </c>
      <c r="AY214" s="687">
        <v>0</v>
      </c>
      <c r="AZ214" s="687"/>
      <c r="BA214" s="687"/>
      <c r="BC214" s="688">
        <f t="shared" si="72"/>
        <v>0</v>
      </c>
    </row>
    <row r="215" spans="2:55" x14ac:dyDescent="0.25">
      <c r="B215" s="662" t="s">
        <v>1096</v>
      </c>
      <c r="C215" s="662" t="s">
        <v>961</v>
      </c>
      <c r="D215" s="663"/>
      <c r="E215" s="662">
        <v>3</v>
      </c>
      <c r="F215" s="662">
        <v>5</v>
      </c>
      <c r="G215" s="662">
        <v>4</v>
      </c>
      <c r="H215" s="662">
        <v>2</v>
      </c>
      <c r="I215" s="662">
        <v>5</v>
      </c>
      <c r="P215" s="662">
        <v>1</v>
      </c>
      <c r="Q215" s="681">
        <f t="shared" si="68"/>
        <v>20</v>
      </c>
      <c r="R215" s="691"/>
      <c r="W215" s="683">
        <v>0</v>
      </c>
      <c r="X215" s="683">
        <v>0</v>
      </c>
      <c r="Y215" s="683">
        <v>0</v>
      </c>
      <c r="Z215" s="683">
        <v>0</v>
      </c>
      <c r="AA215" s="683">
        <v>0</v>
      </c>
      <c r="AB215" s="683">
        <v>0</v>
      </c>
      <c r="AC215" s="683">
        <v>0</v>
      </c>
      <c r="AD215" s="683">
        <v>0</v>
      </c>
      <c r="AE215" s="684">
        <f t="shared" si="76"/>
        <v>0</v>
      </c>
      <c r="AG215" s="692">
        <v>0</v>
      </c>
      <c r="AH215" s="692">
        <v>0</v>
      </c>
      <c r="AI215" s="692">
        <v>0</v>
      </c>
      <c r="AJ215" s="692">
        <v>0</v>
      </c>
      <c r="AK215" s="692">
        <v>0</v>
      </c>
      <c r="AL215" s="692">
        <v>0</v>
      </c>
      <c r="AM215" s="692">
        <v>0</v>
      </c>
      <c r="AN215" s="692">
        <v>0</v>
      </c>
      <c r="AO215" s="692">
        <v>0</v>
      </c>
      <c r="AP215" s="692">
        <v>0</v>
      </c>
      <c r="AQ215" s="692">
        <v>0</v>
      </c>
      <c r="AR215" s="692">
        <v>0</v>
      </c>
      <c r="AS215" s="685">
        <f t="shared" si="63"/>
        <v>0</v>
      </c>
      <c r="AU215" s="686">
        <f t="shared" si="69"/>
        <v>20</v>
      </c>
      <c r="AV215" s="665">
        <f t="shared" si="74"/>
        <v>0</v>
      </c>
      <c r="AW215" s="687">
        <f t="shared" si="70"/>
        <v>-1</v>
      </c>
      <c r="AX215" s="663">
        <f t="shared" si="71"/>
        <v>0</v>
      </c>
      <c r="AY215" s="687">
        <v>0</v>
      </c>
      <c r="AZ215" s="687"/>
      <c r="BA215" s="687"/>
      <c r="BC215" s="688">
        <f t="shared" si="72"/>
        <v>1.643835616438356E-2</v>
      </c>
    </row>
    <row r="216" spans="2:55" x14ac:dyDescent="0.25">
      <c r="B216" s="662" t="s">
        <v>1097</v>
      </c>
      <c r="C216" s="662" t="s">
        <v>932</v>
      </c>
      <c r="D216" s="663"/>
      <c r="E216" s="662">
        <v>1</v>
      </c>
      <c r="M216" s="662">
        <v>2</v>
      </c>
      <c r="N216" s="662">
        <v>1</v>
      </c>
      <c r="O216" s="662">
        <v>1</v>
      </c>
      <c r="Q216" s="681">
        <f t="shared" si="68"/>
        <v>5</v>
      </c>
      <c r="R216" s="691"/>
      <c r="S216" s="662">
        <v>1</v>
      </c>
      <c r="T216" s="662">
        <v>1</v>
      </c>
      <c r="W216" s="683">
        <v>0</v>
      </c>
      <c r="X216" s="683">
        <v>0</v>
      </c>
      <c r="Y216" s="683">
        <v>1</v>
      </c>
      <c r="Z216" s="683">
        <v>1</v>
      </c>
      <c r="AA216" s="683">
        <v>0</v>
      </c>
      <c r="AB216" s="683">
        <v>0</v>
      </c>
      <c r="AC216" s="683">
        <v>1</v>
      </c>
      <c r="AD216" s="683">
        <v>1</v>
      </c>
      <c r="AE216" s="684">
        <f t="shared" si="76"/>
        <v>6</v>
      </c>
      <c r="AG216" s="692">
        <v>1</v>
      </c>
      <c r="AH216" s="692">
        <v>1</v>
      </c>
      <c r="AI216" s="692">
        <v>0</v>
      </c>
      <c r="AJ216" s="692">
        <v>0</v>
      </c>
      <c r="AK216" s="692">
        <v>1</v>
      </c>
      <c r="AL216" s="692">
        <v>1</v>
      </c>
      <c r="AM216" s="692">
        <v>0</v>
      </c>
      <c r="AN216" s="692">
        <v>0</v>
      </c>
      <c r="AO216" s="692">
        <v>1</v>
      </c>
      <c r="AP216" s="692">
        <v>1</v>
      </c>
      <c r="AQ216" s="692">
        <v>0</v>
      </c>
      <c r="AR216" s="692">
        <v>0</v>
      </c>
      <c r="AS216" s="685">
        <f t="shared" si="63"/>
        <v>6</v>
      </c>
      <c r="AU216" s="686">
        <f t="shared" si="69"/>
        <v>5</v>
      </c>
      <c r="AV216" s="665">
        <f t="shared" si="74"/>
        <v>6</v>
      </c>
      <c r="AW216" s="687">
        <f t="shared" si="70"/>
        <v>0.19999999999999996</v>
      </c>
      <c r="AX216" s="663">
        <f t="shared" si="71"/>
        <v>6</v>
      </c>
      <c r="AY216" s="687">
        <f t="shared" si="73"/>
        <v>0</v>
      </c>
      <c r="AZ216" s="687"/>
      <c r="BA216" s="687"/>
      <c r="BC216" s="688">
        <f t="shared" si="72"/>
        <v>1.643835616438356E-2</v>
      </c>
    </row>
    <row r="217" spans="2:55" x14ac:dyDescent="0.25">
      <c r="C217" s="662" t="s">
        <v>939</v>
      </c>
      <c r="D217" s="663"/>
      <c r="E217" s="662">
        <v>14</v>
      </c>
      <c r="F217" s="662">
        <v>11</v>
      </c>
      <c r="G217" s="662">
        <v>8</v>
      </c>
      <c r="H217" s="662">
        <v>12</v>
      </c>
      <c r="I217" s="662">
        <v>8</v>
      </c>
      <c r="J217" s="662">
        <v>16</v>
      </c>
      <c r="K217" s="662">
        <v>15</v>
      </c>
      <c r="L217" s="662">
        <v>12</v>
      </c>
      <c r="M217" s="662">
        <v>13</v>
      </c>
      <c r="N217" s="662">
        <v>11</v>
      </c>
      <c r="O217" s="662">
        <v>12</v>
      </c>
      <c r="P217" s="662">
        <v>21</v>
      </c>
      <c r="Q217" s="681">
        <f t="shared" si="68"/>
        <v>153</v>
      </c>
      <c r="R217" s="691"/>
      <c r="S217" s="662">
        <v>16</v>
      </c>
      <c r="T217" s="662">
        <v>15</v>
      </c>
      <c r="U217" s="662">
        <v>16</v>
      </c>
      <c r="V217" s="662">
        <v>8</v>
      </c>
      <c r="W217" s="683">
        <v>8</v>
      </c>
      <c r="X217" s="683">
        <v>10</v>
      </c>
      <c r="Y217" s="683">
        <v>15</v>
      </c>
      <c r="Z217" s="683">
        <v>12</v>
      </c>
      <c r="AA217" s="683">
        <v>13</v>
      </c>
      <c r="AB217" s="683">
        <v>11</v>
      </c>
      <c r="AC217" s="683">
        <v>12</v>
      </c>
      <c r="AD217" s="683">
        <v>18</v>
      </c>
      <c r="AE217" s="684">
        <f t="shared" si="76"/>
        <v>154</v>
      </c>
      <c r="AG217" s="692">
        <v>16</v>
      </c>
      <c r="AH217" s="692">
        <v>16</v>
      </c>
      <c r="AI217" s="692">
        <v>16</v>
      </c>
      <c r="AJ217" s="692">
        <v>16</v>
      </c>
      <c r="AK217" s="692">
        <v>16</v>
      </c>
      <c r="AL217" s="692">
        <v>16</v>
      </c>
      <c r="AM217" s="692">
        <v>16</v>
      </c>
      <c r="AN217" s="692">
        <v>16</v>
      </c>
      <c r="AO217" s="692">
        <v>16</v>
      </c>
      <c r="AP217" s="692">
        <v>16</v>
      </c>
      <c r="AQ217" s="692">
        <v>16</v>
      </c>
      <c r="AR217" s="692">
        <v>16</v>
      </c>
      <c r="AS217" s="685">
        <f t="shared" si="63"/>
        <v>192</v>
      </c>
      <c r="AU217" s="686">
        <f t="shared" si="69"/>
        <v>153</v>
      </c>
      <c r="AV217" s="665">
        <f t="shared" si="74"/>
        <v>154</v>
      </c>
      <c r="AW217" s="687">
        <f t="shared" si="70"/>
        <v>6.5359477124182774E-3</v>
      </c>
      <c r="AX217" s="663">
        <f t="shared" si="71"/>
        <v>192</v>
      </c>
      <c r="AY217" s="687">
        <f t="shared" si="73"/>
        <v>0.24675324675324672</v>
      </c>
      <c r="AZ217" s="687"/>
      <c r="BA217" s="687"/>
      <c r="BC217" s="688">
        <f t="shared" si="72"/>
        <v>0.44657534246575342</v>
      </c>
    </row>
    <row r="218" spans="2:55" x14ac:dyDescent="0.25">
      <c r="C218" s="662" t="s">
        <v>961</v>
      </c>
      <c r="D218" s="663"/>
      <c r="E218" s="662">
        <v>1</v>
      </c>
      <c r="G218" s="662">
        <v>1</v>
      </c>
      <c r="I218" s="662">
        <v>1</v>
      </c>
      <c r="L218" s="662">
        <v>1</v>
      </c>
      <c r="Q218" s="681">
        <f t="shared" si="68"/>
        <v>4</v>
      </c>
      <c r="R218" s="691"/>
      <c r="W218" s="683">
        <v>0</v>
      </c>
      <c r="X218" s="683">
        <v>0</v>
      </c>
      <c r="Y218" s="683">
        <v>0</v>
      </c>
      <c r="Z218" s="683">
        <v>0</v>
      </c>
      <c r="AA218" s="683">
        <v>0</v>
      </c>
      <c r="AB218" s="683">
        <v>0</v>
      </c>
      <c r="AC218" s="683">
        <v>0</v>
      </c>
      <c r="AD218" s="683">
        <v>0</v>
      </c>
      <c r="AE218" s="684">
        <f t="shared" si="76"/>
        <v>0</v>
      </c>
      <c r="AG218" s="692">
        <v>0</v>
      </c>
      <c r="AH218" s="692">
        <v>0</v>
      </c>
      <c r="AI218" s="692">
        <v>0</v>
      </c>
      <c r="AJ218" s="692">
        <v>0</v>
      </c>
      <c r="AK218" s="692">
        <v>0</v>
      </c>
      <c r="AL218" s="692">
        <v>0</v>
      </c>
      <c r="AM218" s="692">
        <v>0</v>
      </c>
      <c r="AN218" s="692">
        <v>0</v>
      </c>
      <c r="AO218" s="692">
        <v>0</v>
      </c>
      <c r="AP218" s="692">
        <v>0</v>
      </c>
      <c r="AQ218" s="692">
        <v>0</v>
      </c>
      <c r="AR218" s="692">
        <v>0</v>
      </c>
      <c r="AS218" s="685">
        <f t="shared" si="63"/>
        <v>0</v>
      </c>
      <c r="AU218" s="686">
        <f t="shared" si="69"/>
        <v>4</v>
      </c>
      <c r="AV218" s="665">
        <f t="shared" si="74"/>
        <v>0</v>
      </c>
      <c r="AW218" s="687">
        <f t="shared" si="70"/>
        <v>-1</v>
      </c>
      <c r="AX218" s="663">
        <f t="shared" si="71"/>
        <v>0</v>
      </c>
      <c r="AY218" s="687">
        <v>0</v>
      </c>
      <c r="AZ218" s="687"/>
      <c r="BA218" s="687"/>
      <c r="BC218" s="688">
        <f t="shared" si="72"/>
        <v>5.4794520547945206E-3</v>
      </c>
    </row>
    <row r="219" spans="2:55" x14ac:dyDescent="0.25">
      <c r="B219" s="662" t="s">
        <v>1098</v>
      </c>
      <c r="C219" s="662" t="s">
        <v>932</v>
      </c>
      <c r="D219" s="663"/>
      <c r="E219" s="662">
        <v>2</v>
      </c>
      <c r="Q219" s="681">
        <f t="shared" si="68"/>
        <v>2</v>
      </c>
      <c r="R219" s="691"/>
      <c r="T219" s="662">
        <v>1</v>
      </c>
      <c r="W219" s="683">
        <f t="shared" si="75"/>
        <v>8.2191780821917804E-2</v>
      </c>
      <c r="X219" s="683">
        <f t="shared" si="75"/>
        <v>8.4931506849315067E-2</v>
      </c>
      <c r="Y219" s="683">
        <f t="shared" si="75"/>
        <v>8.4931506849315067E-2</v>
      </c>
      <c r="Z219" s="683">
        <f t="shared" si="75"/>
        <v>7.6712328767123292E-2</v>
      </c>
      <c r="AA219" s="683">
        <f t="shared" si="75"/>
        <v>8.4931506849315067E-2</v>
      </c>
      <c r="AB219" s="683">
        <f t="shared" si="75"/>
        <v>8.2191780821917804E-2</v>
      </c>
      <c r="AC219" s="683">
        <f t="shared" si="75"/>
        <v>8.4931506849315067E-2</v>
      </c>
      <c r="AD219" s="683">
        <f t="shared" si="75"/>
        <v>8.2191780821917804E-2</v>
      </c>
      <c r="AE219" s="684">
        <f t="shared" si="76"/>
        <v>1.6630136986301367</v>
      </c>
      <c r="AG219" s="692">
        <v>0</v>
      </c>
      <c r="AH219" s="692">
        <v>0</v>
      </c>
      <c r="AI219" s="692">
        <v>0</v>
      </c>
      <c r="AJ219" s="692">
        <v>0</v>
      </c>
      <c r="AK219" s="692">
        <v>0</v>
      </c>
      <c r="AL219" s="692">
        <v>0</v>
      </c>
      <c r="AM219" s="692">
        <v>0</v>
      </c>
      <c r="AN219" s="692">
        <v>0</v>
      </c>
      <c r="AO219" s="692">
        <v>0</v>
      </c>
      <c r="AP219" s="692">
        <v>0</v>
      </c>
      <c r="AQ219" s="692">
        <v>0</v>
      </c>
      <c r="AR219" s="692">
        <v>0</v>
      </c>
      <c r="AS219" s="685">
        <f t="shared" si="63"/>
        <v>0</v>
      </c>
      <c r="AU219" s="686">
        <f t="shared" si="69"/>
        <v>2</v>
      </c>
      <c r="AV219" s="665">
        <f t="shared" si="74"/>
        <v>1.6630136986301367</v>
      </c>
      <c r="AW219" s="687">
        <f t="shared" si="70"/>
        <v>-0.16849315068493165</v>
      </c>
      <c r="AX219" s="663">
        <f t="shared" si="71"/>
        <v>0</v>
      </c>
      <c r="AY219" s="687">
        <f t="shared" si="73"/>
        <v>-1</v>
      </c>
      <c r="AZ219" s="687"/>
      <c r="BA219" s="687"/>
      <c r="BC219" s="688">
        <f t="shared" si="72"/>
        <v>2.7397260273972603E-3</v>
      </c>
    </row>
    <row r="220" spans="2:55" x14ac:dyDescent="0.25">
      <c r="C220" s="662" t="s">
        <v>939</v>
      </c>
      <c r="D220" s="663"/>
      <c r="E220" s="662">
        <v>13</v>
      </c>
      <c r="F220" s="662">
        <v>13</v>
      </c>
      <c r="G220" s="662">
        <v>16</v>
      </c>
      <c r="H220" s="662">
        <v>17</v>
      </c>
      <c r="I220" s="662">
        <v>12</v>
      </c>
      <c r="J220" s="662">
        <v>12</v>
      </c>
      <c r="K220" s="662">
        <v>10</v>
      </c>
      <c r="L220" s="662">
        <v>17</v>
      </c>
      <c r="M220" s="662">
        <v>13</v>
      </c>
      <c r="N220" s="662">
        <v>15</v>
      </c>
      <c r="O220" s="662">
        <v>21</v>
      </c>
      <c r="P220" s="662">
        <v>21</v>
      </c>
      <c r="Q220" s="681">
        <f t="shared" si="68"/>
        <v>180</v>
      </c>
      <c r="R220" s="691"/>
      <c r="S220" s="662">
        <v>19</v>
      </c>
      <c r="T220" s="662">
        <v>16</v>
      </c>
      <c r="U220" s="662">
        <v>15</v>
      </c>
      <c r="V220" s="662">
        <v>18</v>
      </c>
      <c r="W220" s="683">
        <v>12</v>
      </c>
      <c r="X220" s="683">
        <v>3</v>
      </c>
      <c r="Y220" s="683">
        <v>5</v>
      </c>
      <c r="Z220" s="683">
        <v>7</v>
      </c>
      <c r="AA220" s="683">
        <v>8</v>
      </c>
      <c r="AB220" s="683">
        <v>8</v>
      </c>
      <c r="AC220" s="683">
        <v>8</v>
      </c>
      <c r="AD220" s="683">
        <v>8</v>
      </c>
      <c r="AE220" s="684">
        <f t="shared" si="76"/>
        <v>127</v>
      </c>
      <c r="AG220" s="692">
        <v>0</v>
      </c>
      <c r="AH220" s="692">
        <v>0</v>
      </c>
      <c r="AI220" s="692">
        <v>0</v>
      </c>
      <c r="AJ220" s="692">
        <v>0</v>
      </c>
      <c r="AK220" s="692">
        <v>0</v>
      </c>
      <c r="AL220" s="692">
        <v>0</v>
      </c>
      <c r="AM220" s="692">
        <v>0</v>
      </c>
      <c r="AN220" s="692">
        <v>0</v>
      </c>
      <c r="AO220" s="692">
        <v>0</v>
      </c>
      <c r="AP220" s="692">
        <v>0</v>
      </c>
      <c r="AQ220" s="692">
        <v>0</v>
      </c>
      <c r="AR220" s="692">
        <v>0</v>
      </c>
      <c r="AS220" s="685">
        <f t="shared" si="63"/>
        <v>0</v>
      </c>
      <c r="AU220" s="686">
        <f t="shared" si="69"/>
        <v>180</v>
      </c>
      <c r="AV220" s="665">
        <f t="shared" si="74"/>
        <v>127</v>
      </c>
      <c r="AW220" s="687">
        <f t="shared" si="70"/>
        <v>-0.2944444444444444</v>
      </c>
      <c r="AX220" s="663">
        <f t="shared" si="71"/>
        <v>0</v>
      </c>
      <c r="AY220" s="687">
        <f t="shared" si="73"/>
        <v>-1</v>
      </c>
      <c r="AZ220" s="687"/>
      <c r="BA220" s="687"/>
      <c r="BC220" s="688">
        <f t="shared" si="72"/>
        <v>0.51780821917808217</v>
      </c>
    </row>
    <row r="221" spans="2:55" x14ac:dyDescent="0.25">
      <c r="C221" s="662" t="s">
        <v>961</v>
      </c>
      <c r="D221" s="663"/>
      <c r="E221" s="662">
        <v>1</v>
      </c>
      <c r="G221" s="662">
        <v>1</v>
      </c>
      <c r="H221" s="662">
        <v>1</v>
      </c>
      <c r="I221" s="662">
        <v>1</v>
      </c>
      <c r="L221" s="662">
        <v>1</v>
      </c>
      <c r="M221" s="662">
        <v>2</v>
      </c>
      <c r="Q221" s="681">
        <f t="shared" si="68"/>
        <v>7</v>
      </c>
      <c r="R221" s="691"/>
      <c r="W221" s="683">
        <v>0</v>
      </c>
      <c r="X221" s="683">
        <v>0</v>
      </c>
      <c r="Y221" s="683">
        <v>0</v>
      </c>
      <c r="Z221" s="683">
        <v>0</v>
      </c>
      <c r="AA221" s="683">
        <v>0</v>
      </c>
      <c r="AB221" s="683">
        <v>0</v>
      </c>
      <c r="AC221" s="683">
        <v>0</v>
      </c>
      <c r="AD221" s="683">
        <v>0</v>
      </c>
      <c r="AE221" s="684">
        <f t="shared" si="76"/>
        <v>0</v>
      </c>
      <c r="AG221" s="692">
        <v>0</v>
      </c>
      <c r="AH221" s="692">
        <v>0</v>
      </c>
      <c r="AI221" s="692">
        <v>0</v>
      </c>
      <c r="AJ221" s="692">
        <v>0</v>
      </c>
      <c r="AK221" s="692">
        <v>0</v>
      </c>
      <c r="AL221" s="692">
        <v>0</v>
      </c>
      <c r="AM221" s="692">
        <v>0</v>
      </c>
      <c r="AN221" s="692">
        <v>0</v>
      </c>
      <c r="AO221" s="692">
        <v>0</v>
      </c>
      <c r="AP221" s="692">
        <v>0</v>
      </c>
      <c r="AQ221" s="692">
        <v>0</v>
      </c>
      <c r="AR221" s="692">
        <v>0</v>
      </c>
      <c r="AS221" s="685">
        <f t="shared" ref="AS221:AS224" si="77">SUM(AG221:AR221)</f>
        <v>0</v>
      </c>
      <c r="AU221" s="686">
        <f t="shared" si="69"/>
        <v>7</v>
      </c>
      <c r="AV221" s="665">
        <f t="shared" si="74"/>
        <v>0</v>
      </c>
      <c r="AW221" s="687">
        <f t="shared" si="70"/>
        <v>-1</v>
      </c>
      <c r="AX221" s="663">
        <f t="shared" si="71"/>
        <v>0</v>
      </c>
      <c r="AY221" s="687">
        <v>0</v>
      </c>
      <c r="AZ221" s="687"/>
      <c r="BA221" s="687"/>
      <c r="BC221" s="688">
        <f t="shared" si="72"/>
        <v>1.0958904109589041E-2</v>
      </c>
    </row>
    <row r="222" spans="2:55" x14ac:dyDescent="0.25">
      <c r="B222" s="662" t="s">
        <v>1099</v>
      </c>
      <c r="C222" s="662" t="s">
        <v>932</v>
      </c>
      <c r="D222" s="663" t="s">
        <v>945</v>
      </c>
      <c r="M222" s="662">
        <v>1</v>
      </c>
      <c r="Q222" s="681">
        <f t="shared" si="68"/>
        <v>1</v>
      </c>
      <c r="R222" s="691"/>
      <c r="S222" s="662">
        <v>1</v>
      </c>
      <c r="W222" s="683">
        <v>0</v>
      </c>
      <c r="X222" s="683">
        <v>0</v>
      </c>
      <c r="Y222" s="683">
        <v>0</v>
      </c>
      <c r="Z222" s="683">
        <v>0</v>
      </c>
      <c r="AA222" s="683">
        <v>0</v>
      </c>
      <c r="AB222" s="683">
        <v>0</v>
      </c>
      <c r="AC222" s="683">
        <v>0</v>
      </c>
      <c r="AD222" s="683">
        <v>0</v>
      </c>
      <c r="AE222" s="684">
        <f t="shared" si="76"/>
        <v>1</v>
      </c>
      <c r="AG222" s="692">
        <v>0</v>
      </c>
      <c r="AH222" s="692">
        <v>0</v>
      </c>
      <c r="AI222" s="692">
        <v>0</v>
      </c>
      <c r="AJ222" s="692">
        <v>0</v>
      </c>
      <c r="AK222" s="692">
        <v>0</v>
      </c>
      <c r="AL222" s="692">
        <v>0</v>
      </c>
      <c r="AM222" s="692">
        <v>0</v>
      </c>
      <c r="AN222" s="692">
        <v>0</v>
      </c>
      <c r="AO222" s="692">
        <v>0</v>
      </c>
      <c r="AP222" s="692">
        <v>0</v>
      </c>
      <c r="AQ222" s="692">
        <v>0</v>
      </c>
      <c r="AR222" s="692">
        <v>0</v>
      </c>
      <c r="AS222" s="685">
        <f t="shared" si="77"/>
        <v>0</v>
      </c>
      <c r="AU222" s="686">
        <f t="shared" si="69"/>
        <v>1</v>
      </c>
      <c r="AV222" s="665">
        <f t="shared" si="74"/>
        <v>1</v>
      </c>
      <c r="AW222" s="687">
        <f t="shared" si="70"/>
        <v>0</v>
      </c>
      <c r="AX222" s="663">
        <f t="shared" si="71"/>
        <v>0</v>
      </c>
      <c r="AY222" s="687">
        <f t="shared" si="73"/>
        <v>-1</v>
      </c>
      <c r="AZ222" s="687"/>
      <c r="BA222" s="687"/>
      <c r="BC222" s="688">
        <f t="shared" si="72"/>
        <v>5.4794520547945206E-3</v>
      </c>
    </row>
    <row r="223" spans="2:55" x14ac:dyDescent="0.25">
      <c r="C223" s="662" t="s">
        <v>939</v>
      </c>
      <c r="D223" s="663" t="s">
        <v>945</v>
      </c>
      <c r="M223" s="662">
        <v>6</v>
      </c>
      <c r="N223" s="662">
        <v>3</v>
      </c>
      <c r="O223" s="662">
        <v>9</v>
      </c>
      <c r="P223" s="662">
        <v>4</v>
      </c>
      <c r="Q223" s="681">
        <f t="shared" si="68"/>
        <v>22</v>
      </c>
      <c r="R223" s="691"/>
      <c r="S223" s="662">
        <v>4</v>
      </c>
      <c r="W223" s="683">
        <v>0</v>
      </c>
      <c r="X223" s="683">
        <v>0</v>
      </c>
      <c r="Y223" s="683">
        <v>0</v>
      </c>
      <c r="Z223" s="683">
        <v>0</v>
      </c>
      <c r="AA223" s="683">
        <v>0</v>
      </c>
      <c r="AB223" s="683">
        <v>0</v>
      </c>
      <c r="AC223" s="683">
        <v>0</v>
      </c>
      <c r="AD223" s="683">
        <v>0</v>
      </c>
      <c r="AE223" s="684">
        <f t="shared" si="76"/>
        <v>4</v>
      </c>
      <c r="AG223" s="692">
        <v>0</v>
      </c>
      <c r="AH223" s="692">
        <v>0</v>
      </c>
      <c r="AI223" s="692">
        <v>0</v>
      </c>
      <c r="AJ223" s="692">
        <v>0</v>
      </c>
      <c r="AK223" s="692">
        <v>0</v>
      </c>
      <c r="AL223" s="692">
        <v>0</v>
      </c>
      <c r="AM223" s="692">
        <v>0</v>
      </c>
      <c r="AN223" s="692">
        <v>0</v>
      </c>
      <c r="AO223" s="692">
        <v>0</v>
      </c>
      <c r="AP223" s="692">
        <v>0</v>
      </c>
      <c r="AQ223" s="692">
        <v>0</v>
      </c>
      <c r="AR223" s="692">
        <v>0</v>
      </c>
      <c r="AS223" s="685">
        <f t="shared" si="77"/>
        <v>0</v>
      </c>
      <c r="AU223" s="686">
        <f t="shared" si="69"/>
        <v>22</v>
      </c>
      <c r="AV223" s="665">
        <f t="shared" si="74"/>
        <v>4</v>
      </c>
      <c r="AW223" s="687">
        <f t="shared" si="70"/>
        <v>-0.81818181818181812</v>
      </c>
      <c r="AX223" s="663">
        <f t="shared" si="71"/>
        <v>0</v>
      </c>
      <c r="AY223" s="687">
        <f t="shared" si="73"/>
        <v>-1</v>
      </c>
      <c r="AZ223" s="687"/>
      <c r="BA223" s="687"/>
      <c r="BC223" s="688">
        <f t="shared" si="72"/>
        <v>7.1232876712328766E-2</v>
      </c>
    </row>
    <row r="224" spans="2:55" x14ac:dyDescent="0.25">
      <c r="C224" s="662" t="s">
        <v>961</v>
      </c>
      <c r="D224" s="663" t="s">
        <v>945</v>
      </c>
      <c r="M224" s="662">
        <v>1</v>
      </c>
      <c r="N224" s="662">
        <v>1</v>
      </c>
      <c r="Q224" s="681">
        <f t="shared" si="68"/>
        <v>2</v>
      </c>
      <c r="R224" s="691"/>
      <c r="W224" s="683">
        <v>0</v>
      </c>
      <c r="X224" s="683">
        <v>0</v>
      </c>
      <c r="Y224" s="683">
        <v>0</v>
      </c>
      <c r="Z224" s="683">
        <v>0</v>
      </c>
      <c r="AA224" s="683">
        <v>0</v>
      </c>
      <c r="AB224" s="683">
        <v>0</v>
      </c>
      <c r="AC224" s="683">
        <v>0</v>
      </c>
      <c r="AD224" s="683">
        <v>0</v>
      </c>
      <c r="AE224" s="684">
        <f t="shared" si="76"/>
        <v>0</v>
      </c>
      <c r="AG224" s="692">
        <v>0</v>
      </c>
      <c r="AH224" s="692">
        <v>0</v>
      </c>
      <c r="AI224" s="692">
        <v>0</v>
      </c>
      <c r="AJ224" s="692">
        <v>0</v>
      </c>
      <c r="AK224" s="692">
        <v>0</v>
      </c>
      <c r="AL224" s="692">
        <v>0</v>
      </c>
      <c r="AM224" s="692">
        <v>0</v>
      </c>
      <c r="AN224" s="692">
        <v>0</v>
      </c>
      <c r="AO224" s="692">
        <v>0</v>
      </c>
      <c r="AP224" s="692">
        <v>0</v>
      </c>
      <c r="AQ224" s="692">
        <v>0</v>
      </c>
      <c r="AR224" s="692">
        <v>0</v>
      </c>
      <c r="AS224" s="685">
        <f t="shared" si="77"/>
        <v>0</v>
      </c>
      <c r="AU224" s="686">
        <f t="shared" si="69"/>
        <v>2</v>
      </c>
      <c r="AV224" s="665">
        <f t="shared" si="74"/>
        <v>0</v>
      </c>
      <c r="AW224" s="687">
        <f t="shared" si="70"/>
        <v>-1</v>
      </c>
      <c r="AX224" s="663">
        <f t="shared" si="71"/>
        <v>0</v>
      </c>
      <c r="AY224" s="687">
        <v>0</v>
      </c>
      <c r="AZ224" s="687"/>
      <c r="BA224" s="687"/>
      <c r="BC224" s="688">
        <f t="shared" si="72"/>
        <v>5.4794520547945206E-3</v>
      </c>
    </row>
    <row r="225" spans="1:55" x14ac:dyDescent="0.25">
      <c r="A225" s="693" t="s">
        <v>1100</v>
      </c>
      <c r="B225" s="693"/>
      <c r="C225" s="693"/>
      <c r="D225" s="694"/>
      <c r="E225" s="693">
        <v>122</v>
      </c>
      <c r="F225" s="693">
        <v>130</v>
      </c>
      <c r="G225" s="693">
        <v>140</v>
      </c>
      <c r="H225" s="693">
        <v>141</v>
      </c>
      <c r="I225" s="693">
        <v>119</v>
      </c>
      <c r="J225" s="693">
        <v>89</v>
      </c>
      <c r="K225" s="693">
        <v>87</v>
      </c>
      <c r="L225" s="693">
        <v>79</v>
      </c>
      <c r="M225" s="693">
        <v>79</v>
      </c>
      <c r="N225" s="693">
        <v>77</v>
      </c>
      <c r="O225" s="693">
        <v>98</v>
      </c>
      <c r="P225" s="693">
        <v>94</v>
      </c>
      <c r="Q225" s="695">
        <f t="shared" si="68"/>
        <v>1255</v>
      </c>
      <c r="R225" s="695"/>
      <c r="S225" s="693">
        <v>98</v>
      </c>
      <c r="T225" s="693">
        <v>98</v>
      </c>
      <c r="U225" s="693">
        <v>94</v>
      </c>
      <c r="V225" s="693">
        <v>103</v>
      </c>
      <c r="W225" s="696">
        <f>SUM(W199:W224)</f>
        <v>100.32876712328766</v>
      </c>
      <c r="X225" s="696">
        <f t="shared" ref="X225:AD225" si="78">SUM(X199:X224)</f>
        <v>85.339726027397262</v>
      </c>
      <c r="Y225" s="696">
        <f t="shared" si="78"/>
        <v>103.33972602739726</v>
      </c>
      <c r="Z225" s="696">
        <f t="shared" si="78"/>
        <v>91.306849315068504</v>
      </c>
      <c r="AA225" s="696">
        <f t="shared" si="78"/>
        <v>90.339726027397262</v>
      </c>
      <c r="AB225" s="696">
        <f t="shared" si="78"/>
        <v>87.328767123287662</v>
      </c>
      <c r="AC225" s="696">
        <f t="shared" si="78"/>
        <v>96.339726027397262</v>
      </c>
      <c r="AD225" s="696">
        <f t="shared" si="78"/>
        <v>93.328767123287662</v>
      </c>
      <c r="AE225" s="697">
        <f t="shared" si="76"/>
        <v>1140.6520547945206</v>
      </c>
      <c r="AF225" s="694"/>
      <c r="AG225" s="694">
        <f t="shared" ref="AG225:AR225" si="79">SUM(AG199:AG224)</f>
        <v>93</v>
      </c>
      <c r="AH225" s="694">
        <f t="shared" si="79"/>
        <v>92</v>
      </c>
      <c r="AI225" s="694">
        <f t="shared" si="79"/>
        <v>91</v>
      </c>
      <c r="AJ225" s="694">
        <f t="shared" si="79"/>
        <v>92</v>
      </c>
      <c r="AK225" s="694">
        <f t="shared" si="79"/>
        <v>91</v>
      </c>
      <c r="AL225" s="694">
        <f t="shared" si="79"/>
        <v>91</v>
      </c>
      <c r="AM225" s="694">
        <f t="shared" si="79"/>
        <v>91</v>
      </c>
      <c r="AN225" s="694">
        <f t="shared" si="79"/>
        <v>90</v>
      </c>
      <c r="AO225" s="694">
        <f t="shared" si="79"/>
        <v>91</v>
      </c>
      <c r="AP225" s="694">
        <f t="shared" si="79"/>
        <v>92</v>
      </c>
      <c r="AQ225" s="694">
        <f t="shared" si="79"/>
        <v>90</v>
      </c>
      <c r="AR225" s="694">
        <f t="shared" si="79"/>
        <v>90</v>
      </c>
      <c r="AS225" s="694">
        <f>SUM(AS199:AS224)</f>
        <v>1094</v>
      </c>
      <c r="AT225" s="694"/>
      <c r="AU225" s="697">
        <f t="shared" si="69"/>
        <v>1255</v>
      </c>
      <c r="AV225" s="697">
        <f t="shared" si="74"/>
        <v>1140.6520547945206</v>
      </c>
      <c r="AW225" s="698">
        <f t="shared" si="70"/>
        <v>-9.1113900562134975E-2</v>
      </c>
      <c r="AX225" s="694">
        <f t="shared" si="71"/>
        <v>1094</v>
      </c>
      <c r="AY225" s="698">
        <f t="shared" si="73"/>
        <v>-4.0899461495227496E-2</v>
      </c>
      <c r="AZ225" s="698"/>
      <c r="BA225" s="698"/>
      <c r="BC225" s="688">
        <f t="shared" si="72"/>
        <v>3.0547945205479454</v>
      </c>
    </row>
    <row r="226" spans="1:55" x14ac:dyDescent="0.25">
      <c r="A226" s="664" t="s">
        <v>1101</v>
      </c>
      <c r="B226" s="662" t="s">
        <v>1102</v>
      </c>
      <c r="C226" s="662" t="s">
        <v>932</v>
      </c>
      <c r="D226" s="663"/>
      <c r="J226" s="662">
        <v>1</v>
      </c>
      <c r="Q226" s="681">
        <f t="shared" si="68"/>
        <v>1</v>
      </c>
      <c r="R226" s="691"/>
      <c r="W226" s="683">
        <v>0</v>
      </c>
      <c r="X226" s="683">
        <v>0</v>
      </c>
      <c r="Y226" s="683">
        <v>0</v>
      </c>
      <c r="Z226" s="683">
        <v>0</v>
      </c>
      <c r="AA226" s="683">
        <v>0</v>
      </c>
      <c r="AB226" s="683">
        <v>0</v>
      </c>
      <c r="AC226" s="683">
        <v>0</v>
      </c>
      <c r="AD226" s="683">
        <v>0</v>
      </c>
      <c r="AE226" s="684">
        <f t="shared" si="76"/>
        <v>0</v>
      </c>
      <c r="AG226" s="692">
        <v>0</v>
      </c>
      <c r="AH226" s="692">
        <v>0</v>
      </c>
      <c r="AI226" s="692">
        <v>0</v>
      </c>
      <c r="AJ226" s="692">
        <v>0</v>
      </c>
      <c r="AK226" s="692">
        <v>0</v>
      </c>
      <c r="AL226" s="692">
        <v>0</v>
      </c>
      <c r="AM226" s="692">
        <v>0</v>
      </c>
      <c r="AN226" s="692">
        <v>0</v>
      </c>
      <c r="AO226" s="692">
        <v>0</v>
      </c>
      <c r="AP226" s="692">
        <v>0</v>
      </c>
      <c r="AQ226" s="692">
        <v>0</v>
      </c>
      <c r="AR226" s="692">
        <v>0</v>
      </c>
      <c r="AS226" s="685">
        <f t="shared" ref="AS226:AS228" si="80">SUM(AG226:AR226)</f>
        <v>0</v>
      </c>
      <c r="AU226" s="686">
        <f t="shared" si="69"/>
        <v>1</v>
      </c>
      <c r="AV226" s="665">
        <f t="shared" si="74"/>
        <v>0</v>
      </c>
      <c r="AW226" s="687">
        <f t="shared" si="70"/>
        <v>-1</v>
      </c>
      <c r="AX226" s="663">
        <f t="shared" si="71"/>
        <v>0</v>
      </c>
      <c r="AY226" s="687">
        <v>0</v>
      </c>
      <c r="AZ226" s="687"/>
      <c r="BA226" s="687"/>
      <c r="BC226" s="688">
        <f t="shared" si="72"/>
        <v>2.7397260273972603E-3</v>
      </c>
    </row>
    <row r="227" spans="1:55" x14ac:dyDescent="0.25">
      <c r="B227" s="662" t="s">
        <v>1103</v>
      </c>
      <c r="C227" s="662" t="s">
        <v>932</v>
      </c>
      <c r="D227" s="663"/>
      <c r="E227" s="662">
        <v>3</v>
      </c>
      <c r="F227" s="662">
        <v>6</v>
      </c>
      <c r="G227" s="662">
        <v>3</v>
      </c>
      <c r="H227" s="662">
        <v>2</v>
      </c>
      <c r="I227" s="662">
        <v>7</v>
      </c>
      <c r="J227" s="662">
        <v>4</v>
      </c>
      <c r="L227" s="662">
        <v>4</v>
      </c>
      <c r="M227" s="662">
        <v>3</v>
      </c>
      <c r="P227" s="691"/>
      <c r="Q227" s="681">
        <f t="shared" si="68"/>
        <v>32</v>
      </c>
      <c r="R227" s="691"/>
      <c r="V227" s="662">
        <v>5</v>
      </c>
      <c r="W227" s="683">
        <v>0</v>
      </c>
      <c r="X227" s="683">
        <v>5</v>
      </c>
      <c r="Y227" s="683">
        <v>0</v>
      </c>
      <c r="Z227" s="683">
        <v>5</v>
      </c>
      <c r="AA227" s="683">
        <v>0</v>
      </c>
      <c r="AB227" s="683">
        <v>5</v>
      </c>
      <c r="AC227" s="683">
        <v>0</v>
      </c>
      <c r="AD227" s="683">
        <v>5</v>
      </c>
      <c r="AE227" s="684">
        <f t="shared" si="76"/>
        <v>25</v>
      </c>
      <c r="AG227" s="692">
        <v>2</v>
      </c>
      <c r="AH227" s="692">
        <v>3</v>
      </c>
      <c r="AI227" s="692">
        <v>2</v>
      </c>
      <c r="AJ227" s="692">
        <v>3</v>
      </c>
      <c r="AK227" s="692">
        <v>2</v>
      </c>
      <c r="AL227" s="692">
        <v>3</v>
      </c>
      <c r="AM227" s="692">
        <v>2</v>
      </c>
      <c r="AN227" s="692">
        <v>2</v>
      </c>
      <c r="AO227" s="692">
        <v>2</v>
      </c>
      <c r="AP227" s="692">
        <v>2</v>
      </c>
      <c r="AQ227" s="692">
        <v>2</v>
      </c>
      <c r="AR227" s="692">
        <v>3</v>
      </c>
      <c r="AS227" s="685">
        <f t="shared" si="80"/>
        <v>28</v>
      </c>
      <c r="AU227" s="686">
        <f t="shared" si="69"/>
        <v>32</v>
      </c>
      <c r="AV227" s="665">
        <f t="shared" si="74"/>
        <v>25</v>
      </c>
      <c r="AW227" s="687">
        <f t="shared" si="70"/>
        <v>-0.21875</v>
      </c>
      <c r="AX227" s="663">
        <f t="shared" si="71"/>
        <v>28</v>
      </c>
      <c r="AY227" s="687">
        <f t="shared" si="73"/>
        <v>0.12000000000000011</v>
      </c>
      <c r="AZ227" s="687"/>
      <c r="BA227" s="687"/>
      <c r="BC227" s="688">
        <f t="shared" si="72"/>
        <v>6.3013698630136991E-2</v>
      </c>
    </row>
    <row r="228" spans="1:55" x14ac:dyDescent="0.25">
      <c r="B228" s="662" t="s">
        <v>1086</v>
      </c>
      <c r="C228" s="662" t="s">
        <v>932</v>
      </c>
      <c r="D228" s="663"/>
      <c r="E228" s="664"/>
      <c r="F228" s="664"/>
      <c r="G228" s="664"/>
      <c r="H228" s="664"/>
      <c r="I228" s="664"/>
      <c r="J228" s="664"/>
      <c r="K228" s="664"/>
      <c r="L228" s="664"/>
      <c r="M228" s="664"/>
      <c r="N228" s="664"/>
      <c r="O228" s="664"/>
      <c r="P228" s="681">
        <v>6</v>
      </c>
      <c r="Q228" s="681">
        <f t="shared" si="68"/>
        <v>6</v>
      </c>
      <c r="R228" s="681"/>
      <c r="U228" s="662">
        <v>2</v>
      </c>
      <c r="W228" s="683">
        <v>1</v>
      </c>
      <c r="X228" s="683">
        <v>0</v>
      </c>
      <c r="Y228" s="683">
        <v>0</v>
      </c>
      <c r="Z228" s="683">
        <v>1</v>
      </c>
      <c r="AA228" s="683">
        <v>1</v>
      </c>
      <c r="AB228" s="683">
        <v>1</v>
      </c>
      <c r="AC228" s="683">
        <v>0</v>
      </c>
      <c r="AD228" s="683">
        <v>0</v>
      </c>
      <c r="AE228" s="684">
        <f t="shared" si="76"/>
        <v>6</v>
      </c>
      <c r="AG228" s="684">
        <v>1</v>
      </c>
      <c r="AH228" s="684">
        <v>0</v>
      </c>
      <c r="AI228" s="684">
        <v>1</v>
      </c>
      <c r="AJ228" s="684">
        <v>0</v>
      </c>
      <c r="AK228" s="684">
        <v>1</v>
      </c>
      <c r="AL228" s="684">
        <v>0</v>
      </c>
      <c r="AM228" s="684">
        <v>1</v>
      </c>
      <c r="AN228" s="684">
        <v>0</v>
      </c>
      <c r="AO228" s="684">
        <v>1</v>
      </c>
      <c r="AP228" s="684">
        <v>0</v>
      </c>
      <c r="AQ228" s="684">
        <v>1</v>
      </c>
      <c r="AR228" s="684">
        <v>0</v>
      </c>
      <c r="AS228" s="685">
        <f t="shared" si="80"/>
        <v>6</v>
      </c>
      <c r="AU228" s="686">
        <f t="shared" si="69"/>
        <v>6</v>
      </c>
      <c r="AV228" s="665">
        <f t="shared" si="74"/>
        <v>6</v>
      </c>
      <c r="AW228" s="687">
        <f t="shared" si="70"/>
        <v>0</v>
      </c>
      <c r="AX228" s="663">
        <f t="shared" si="71"/>
        <v>6</v>
      </c>
      <c r="AY228" s="687">
        <f t="shared" si="73"/>
        <v>0</v>
      </c>
      <c r="AZ228" s="687"/>
      <c r="BA228" s="687"/>
      <c r="BC228" s="688">
        <f t="shared" si="72"/>
        <v>2.1917808219178082E-2</v>
      </c>
    </row>
    <row r="229" spans="1:55" x14ac:dyDescent="0.25">
      <c r="A229" s="693" t="s">
        <v>1104</v>
      </c>
      <c r="B229" s="693"/>
      <c r="C229" s="693"/>
      <c r="D229" s="694"/>
      <c r="E229" s="693">
        <v>3</v>
      </c>
      <c r="F229" s="693">
        <v>6</v>
      </c>
      <c r="G229" s="693">
        <v>3</v>
      </c>
      <c r="H229" s="693">
        <v>2</v>
      </c>
      <c r="I229" s="693">
        <v>7</v>
      </c>
      <c r="J229" s="693">
        <v>5</v>
      </c>
      <c r="K229" s="693"/>
      <c r="L229" s="693">
        <v>4</v>
      </c>
      <c r="M229" s="693">
        <v>3</v>
      </c>
      <c r="N229" s="693"/>
      <c r="O229" s="693"/>
      <c r="P229" s="693">
        <v>6</v>
      </c>
      <c r="Q229" s="695">
        <f t="shared" si="68"/>
        <v>39</v>
      </c>
      <c r="R229" s="695"/>
      <c r="S229" s="693"/>
      <c r="T229" s="693"/>
      <c r="U229" s="693">
        <v>2</v>
      </c>
      <c r="V229" s="693">
        <v>5</v>
      </c>
      <c r="W229" s="696">
        <f>SUM(W226:W228)</f>
        <v>1</v>
      </c>
      <c r="X229" s="696">
        <f t="shared" ref="X229:AD229" si="81">SUM(X226:X228)</f>
        <v>5</v>
      </c>
      <c r="Y229" s="696">
        <f t="shared" si="81"/>
        <v>0</v>
      </c>
      <c r="Z229" s="696">
        <f t="shared" si="81"/>
        <v>6</v>
      </c>
      <c r="AA229" s="696">
        <f t="shared" si="81"/>
        <v>1</v>
      </c>
      <c r="AB229" s="696">
        <f t="shared" si="81"/>
        <v>6</v>
      </c>
      <c r="AC229" s="696">
        <f t="shared" si="81"/>
        <v>0</v>
      </c>
      <c r="AD229" s="696">
        <f t="shared" si="81"/>
        <v>5</v>
      </c>
      <c r="AE229" s="697">
        <f t="shared" si="76"/>
        <v>31</v>
      </c>
      <c r="AF229" s="694"/>
      <c r="AG229" s="694">
        <f t="shared" ref="AG229:AR229" si="82">SUM(AG226:AG228)</f>
        <v>3</v>
      </c>
      <c r="AH229" s="694">
        <f t="shared" si="82"/>
        <v>3</v>
      </c>
      <c r="AI229" s="694">
        <f t="shared" si="82"/>
        <v>3</v>
      </c>
      <c r="AJ229" s="694">
        <f t="shared" si="82"/>
        <v>3</v>
      </c>
      <c r="AK229" s="694">
        <f t="shared" si="82"/>
        <v>3</v>
      </c>
      <c r="AL229" s="694">
        <f t="shared" si="82"/>
        <v>3</v>
      </c>
      <c r="AM229" s="694">
        <f t="shared" si="82"/>
        <v>3</v>
      </c>
      <c r="AN229" s="694">
        <f t="shared" si="82"/>
        <v>2</v>
      </c>
      <c r="AO229" s="694">
        <f t="shared" si="82"/>
        <v>3</v>
      </c>
      <c r="AP229" s="694">
        <f t="shared" si="82"/>
        <v>2</v>
      </c>
      <c r="AQ229" s="694">
        <f t="shared" si="82"/>
        <v>3</v>
      </c>
      <c r="AR229" s="694">
        <f t="shared" si="82"/>
        <v>3</v>
      </c>
      <c r="AS229" s="694">
        <f>SUM(AS226:AS228)</f>
        <v>34</v>
      </c>
      <c r="AT229" s="694"/>
      <c r="AU229" s="697">
        <f t="shared" si="69"/>
        <v>39</v>
      </c>
      <c r="AV229" s="697">
        <f t="shared" si="74"/>
        <v>31</v>
      </c>
      <c r="AW229" s="698">
        <f t="shared" si="70"/>
        <v>-0.20512820512820518</v>
      </c>
      <c r="AX229" s="694">
        <f t="shared" si="71"/>
        <v>34</v>
      </c>
      <c r="AY229" s="698">
        <f t="shared" si="73"/>
        <v>9.6774193548387011E-2</v>
      </c>
      <c r="AZ229" s="698"/>
      <c r="BA229" s="698"/>
      <c r="BC229" s="688">
        <f t="shared" si="72"/>
        <v>8.7671232876712329E-2</v>
      </c>
    </row>
    <row r="230" spans="1:55" x14ac:dyDescent="0.25">
      <c r="A230" s="664" t="s">
        <v>1105</v>
      </c>
      <c r="B230" s="662" t="s">
        <v>1106</v>
      </c>
      <c r="C230" s="662" t="s">
        <v>939</v>
      </c>
      <c r="D230" s="663"/>
      <c r="E230" s="662">
        <v>4</v>
      </c>
      <c r="F230" s="662">
        <v>4</v>
      </c>
      <c r="G230" s="662">
        <v>3</v>
      </c>
      <c r="H230" s="662">
        <v>4</v>
      </c>
      <c r="I230" s="662">
        <v>6</v>
      </c>
      <c r="J230" s="662">
        <v>6</v>
      </c>
      <c r="K230" s="662">
        <v>1</v>
      </c>
      <c r="L230" s="662">
        <v>3</v>
      </c>
      <c r="M230" s="662">
        <v>8</v>
      </c>
      <c r="N230" s="662">
        <v>2</v>
      </c>
      <c r="O230" s="662">
        <v>5</v>
      </c>
      <c r="P230" s="662">
        <v>8</v>
      </c>
      <c r="Q230" s="681">
        <f t="shared" si="68"/>
        <v>54</v>
      </c>
      <c r="R230" s="691"/>
      <c r="S230" s="662">
        <v>6</v>
      </c>
      <c r="T230" s="662">
        <v>6</v>
      </c>
      <c r="U230" s="662">
        <v>6</v>
      </c>
      <c r="V230" s="662">
        <v>4</v>
      </c>
      <c r="W230" s="683">
        <v>7</v>
      </c>
      <c r="X230" s="683">
        <f t="shared" ref="X230:AD268" si="83">$BC230*X$1</f>
        <v>5.1808219178082195</v>
      </c>
      <c r="Y230" s="683">
        <f t="shared" si="83"/>
        <v>5.1808219178082195</v>
      </c>
      <c r="Z230" s="683">
        <f t="shared" si="83"/>
        <v>4.6794520547945204</v>
      </c>
      <c r="AA230" s="683">
        <f t="shared" si="83"/>
        <v>5.1808219178082195</v>
      </c>
      <c r="AB230" s="683">
        <f t="shared" si="83"/>
        <v>5.0136986301369868</v>
      </c>
      <c r="AC230" s="683">
        <f t="shared" si="83"/>
        <v>5.1808219178082195</v>
      </c>
      <c r="AD230" s="683">
        <f t="shared" si="83"/>
        <v>5.0136986301369868</v>
      </c>
      <c r="AE230" s="684">
        <f t="shared" si="76"/>
        <v>64.430136986301363</v>
      </c>
      <c r="AG230" s="710">
        <v>5</v>
      </c>
      <c r="AH230" s="710">
        <v>5</v>
      </c>
      <c r="AI230" s="710">
        <v>5</v>
      </c>
      <c r="AJ230" s="710">
        <v>5</v>
      </c>
      <c r="AK230" s="710">
        <v>5</v>
      </c>
      <c r="AL230" s="710">
        <v>5</v>
      </c>
      <c r="AM230" s="710">
        <v>5</v>
      </c>
      <c r="AN230" s="710">
        <v>5</v>
      </c>
      <c r="AO230" s="710">
        <v>5</v>
      </c>
      <c r="AP230" s="710">
        <v>5</v>
      </c>
      <c r="AQ230" s="710">
        <v>5</v>
      </c>
      <c r="AR230" s="710">
        <v>5</v>
      </c>
      <c r="AS230" s="685">
        <f t="shared" ref="AS230:AS268" si="84">SUM(AG230:AR230)</f>
        <v>60</v>
      </c>
      <c r="AU230" s="686">
        <f t="shared" si="69"/>
        <v>54</v>
      </c>
      <c r="AV230" s="665">
        <f t="shared" si="74"/>
        <v>64.430136986301363</v>
      </c>
      <c r="AW230" s="687">
        <f t="shared" si="70"/>
        <v>0.19315068493150678</v>
      </c>
      <c r="AX230" s="663">
        <f t="shared" si="71"/>
        <v>60</v>
      </c>
      <c r="AY230" s="687">
        <f t="shared" si="73"/>
        <v>-6.8758770251307499E-2</v>
      </c>
      <c r="AZ230" s="687"/>
      <c r="BA230" s="687"/>
      <c r="BC230" s="688">
        <f t="shared" si="72"/>
        <v>0.16712328767123288</v>
      </c>
    </row>
    <row r="231" spans="1:55" x14ac:dyDescent="0.25">
      <c r="C231" s="662" t="s">
        <v>961</v>
      </c>
      <c r="D231" s="663"/>
      <c r="F231" s="662">
        <v>1</v>
      </c>
      <c r="G231" s="662">
        <v>6</v>
      </c>
      <c r="H231" s="662">
        <v>1</v>
      </c>
      <c r="I231" s="662">
        <v>1</v>
      </c>
      <c r="O231" s="662">
        <v>4</v>
      </c>
      <c r="Q231" s="681">
        <f t="shared" si="68"/>
        <v>13</v>
      </c>
      <c r="R231" s="691"/>
      <c r="S231" s="662">
        <v>5</v>
      </c>
      <c r="T231" s="662">
        <v>4</v>
      </c>
      <c r="W231" s="683"/>
      <c r="X231" s="683">
        <v>0</v>
      </c>
      <c r="Y231" s="683">
        <v>0</v>
      </c>
      <c r="Z231" s="683">
        <v>0</v>
      </c>
      <c r="AA231" s="683">
        <v>0</v>
      </c>
      <c r="AB231" s="683">
        <v>0</v>
      </c>
      <c r="AC231" s="683">
        <v>4</v>
      </c>
      <c r="AD231" s="683">
        <v>0</v>
      </c>
      <c r="AE231" s="684">
        <f t="shared" si="76"/>
        <v>13</v>
      </c>
      <c r="AG231" s="710">
        <v>1</v>
      </c>
      <c r="AH231" s="710">
        <v>1</v>
      </c>
      <c r="AI231" s="710">
        <v>1</v>
      </c>
      <c r="AJ231" s="710">
        <v>1</v>
      </c>
      <c r="AK231" s="710">
        <v>1</v>
      </c>
      <c r="AL231" s="710">
        <v>1</v>
      </c>
      <c r="AM231" s="710">
        <v>1</v>
      </c>
      <c r="AN231" s="710">
        <v>1</v>
      </c>
      <c r="AO231" s="710">
        <v>1</v>
      </c>
      <c r="AP231" s="710">
        <v>1</v>
      </c>
      <c r="AQ231" s="710">
        <v>1</v>
      </c>
      <c r="AR231" s="710">
        <v>1</v>
      </c>
      <c r="AS231" s="685">
        <f t="shared" si="84"/>
        <v>12</v>
      </c>
      <c r="AU231" s="686">
        <f t="shared" si="69"/>
        <v>13</v>
      </c>
      <c r="AV231" s="665">
        <f t="shared" si="74"/>
        <v>13</v>
      </c>
      <c r="AW231" s="687">
        <f t="shared" si="70"/>
        <v>0</v>
      </c>
      <c r="AX231" s="663">
        <f t="shared" si="71"/>
        <v>12</v>
      </c>
      <c r="AY231" s="687">
        <f t="shared" si="73"/>
        <v>-7.6923076923076872E-2</v>
      </c>
      <c r="AZ231" s="687"/>
      <c r="BA231" s="687"/>
      <c r="BC231" s="688">
        <f t="shared" si="72"/>
        <v>3.8356164383561646E-2</v>
      </c>
    </row>
    <row r="232" spans="1:55" x14ac:dyDescent="0.25">
      <c r="B232" s="662" t="s">
        <v>1107</v>
      </c>
      <c r="C232" s="662" t="s">
        <v>939</v>
      </c>
      <c r="D232" s="663" t="s">
        <v>1108</v>
      </c>
      <c r="N232" s="662">
        <v>1</v>
      </c>
      <c r="O232" s="662">
        <v>2</v>
      </c>
      <c r="Q232" s="681">
        <f t="shared" si="68"/>
        <v>3</v>
      </c>
      <c r="R232" s="691"/>
      <c r="W232" s="683"/>
      <c r="X232" s="683">
        <v>0</v>
      </c>
      <c r="Y232" s="683">
        <v>0</v>
      </c>
      <c r="Z232" s="683">
        <v>0</v>
      </c>
      <c r="AA232" s="683">
        <v>0</v>
      </c>
      <c r="AB232" s="683">
        <v>0</v>
      </c>
      <c r="AC232" s="683">
        <v>0</v>
      </c>
      <c r="AD232" s="683">
        <v>0</v>
      </c>
      <c r="AE232" s="684">
        <v>0</v>
      </c>
      <c r="AG232" s="710">
        <v>0</v>
      </c>
      <c r="AH232" s="710">
        <v>0</v>
      </c>
      <c r="AI232" s="710">
        <v>0</v>
      </c>
      <c r="AJ232" s="710">
        <v>0</v>
      </c>
      <c r="AK232" s="710">
        <v>0</v>
      </c>
      <c r="AL232" s="710">
        <v>0</v>
      </c>
      <c r="AM232" s="710">
        <v>0</v>
      </c>
      <c r="AN232" s="710">
        <v>0</v>
      </c>
      <c r="AO232" s="710">
        <v>0</v>
      </c>
      <c r="AP232" s="710">
        <v>0</v>
      </c>
      <c r="AQ232" s="710">
        <v>0</v>
      </c>
      <c r="AR232" s="710">
        <v>0</v>
      </c>
      <c r="AS232" s="685">
        <f t="shared" si="84"/>
        <v>0</v>
      </c>
      <c r="AU232" s="686">
        <f t="shared" si="69"/>
        <v>3</v>
      </c>
      <c r="AV232" s="665">
        <f t="shared" si="74"/>
        <v>0</v>
      </c>
      <c r="AW232" s="687">
        <f t="shared" si="70"/>
        <v>-1</v>
      </c>
      <c r="AX232" s="663">
        <f t="shared" si="71"/>
        <v>0</v>
      </c>
      <c r="AY232" s="687">
        <v>0</v>
      </c>
      <c r="AZ232" s="687"/>
      <c r="BA232" s="687"/>
      <c r="BC232" s="688">
        <f t="shared" si="72"/>
        <v>8.21917808219178E-3</v>
      </c>
    </row>
    <row r="233" spans="1:55" x14ac:dyDescent="0.25">
      <c r="B233" s="662" t="s">
        <v>1109</v>
      </c>
      <c r="C233" s="662" t="s">
        <v>939</v>
      </c>
      <c r="D233" s="663"/>
      <c r="N233" s="662">
        <v>1</v>
      </c>
      <c r="Q233" s="681">
        <f t="shared" si="68"/>
        <v>1</v>
      </c>
      <c r="R233" s="691"/>
      <c r="S233" s="662">
        <v>1</v>
      </c>
      <c r="V233" s="662">
        <v>1</v>
      </c>
      <c r="W233" s="683"/>
      <c r="X233" s="683">
        <v>0</v>
      </c>
      <c r="Y233" s="683">
        <v>0</v>
      </c>
      <c r="Z233" s="683">
        <v>0</v>
      </c>
      <c r="AA233" s="683">
        <v>0</v>
      </c>
      <c r="AB233" s="683">
        <v>0</v>
      </c>
      <c r="AC233" s="683">
        <v>0</v>
      </c>
      <c r="AD233" s="683">
        <v>0</v>
      </c>
      <c r="AE233" s="684">
        <v>2</v>
      </c>
      <c r="AG233" s="710">
        <v>0</v>
      </c>
      <c r="AH233" s="710">
        <v>0</v>
      </c>
      <c r="AI233" s="710">
        <v>0</v>
      </c>
      <c r="AJ233" s="710">
        <v>0</v>
      </c>
      <c r="AK233" s="710">
        <v>0</v>
      </c>
      <c r="AL233" s="710">
        <v>0</v>
      </c>
      <c r="AM233" s="710">
        <v>0</v>
      </c>
      <c r="AN233" s="710">
        <v>0</v>
      </c>
      <c r="AO233" s="710">
        <v>0</v>
      </c>
      <c r="AP233" s="710">
        <v>0</v>
      </c>
      <c r="AQ233" s="710">
        <v>0</v>
      </c>
      <c r="AR233" s="710">
        <v>0</v>
      </c>
      <c r="AS233" s="685">
        <f t="shared" si="84"/>
        <v>0</v>
      </c>
      <c r="AU233" s="686">
        <f t="shared" si="69"/>
        <v>1</v>
      </c>
      <c r="AV233" s="665">
        <f t="shared" si="74"/>
        <v>2</v>
      </c>
      <c r="AW233" s="687">
        <f t="shared" si="70"/>
        <v>1</v>
      </c>
      <c r="AX233" s="663">
        <f t="shared" si="71"/>
        <v>0</v>
      </c>
      <c r="AY233" s="687">
        <f t="shared" si="73"/>
        <v>-1</v>
      </c>
      <c r="AZ233" s="687"/>
      <c r="BA233" s="687"/>
      <c r="BC233" s="688">
        <f t="shared" si="72"/>
        <v>8.21917808219178E-3</v>
      </c>
    </row>
    <row r="234" spans="1:55" x14ac:dyDescent="0.25">
      <c r="B234" s="662" t="s">
        <v>1110</v>
      </c>
      <c r="C234" s="662" t="s">
        <v>932</v>
      </c>
      <c r="D234" s="663"/>
      <c r="M234" s="662">
        <v>2</v>
      </c>
      <c r="Q234" s="681">
        <f t="shared" si="68"/>
        <v>2</v>
      </c>
      <c r="R234" s="691"/>
      <c r="W234" s="683">
        <v>6</v>
      </c>
      <c r="X234" s="683">
        <v>0</v>
      </c>
      <c r="Y234" s="683">
        <v>0</v>
      </c>
      <c r="Z234" s="683">
        <v>0</v>
      </c>
      <c r="AA234" s="683">
        <v>0</v>
      </c>
      <c r="AB234" s="683">
        <v>0</v>
      </c>
      <c r="AC234" s="683">
        <v>0</v>
      </c>
      <c r="AD234" s="683">
        <v>0</v>
      </c>
      <c r="AE234" s="684">
        <f t="shared" si="76"/>
        <v>6</v>
      </c>
      <c r="AG234" s="710">
        <v>1</v>
      </c>
      <c r="AH234" s="710">
        <v>1</v>
      </c>
      <c r="AI234" s="710">
        <v>1</v>
      </c>
      <c r="AJ234" s="710">
        <v>1</v>
      </c>
      <c r="AK234" s="710">
        <v>1</v>
      </c>
      <c r="AL234" s="710">
        <v>1</v>
      </c>
      <c r="AM234" s="710">
        <v>1</v>
      </c>
      <c r="AN234" s="710">
        <v>1</v>
      </c>
      <c r="AO234" s="710">
        <v>1</v>
      </c>
      <c r="AP234" s="710">
        <v>1</v>
      </c>
      <c r="AQ234" s="710">
        <v>1</v>
      </c>
      <c r="AR234" s="710">
        <v>1</v>
      </c>
      <c r="AS234" s="685">
        <f t="shared" si="84"/>
        <v>12</v>
      </c>
      <c r="AU234" s="686">
        <f t="shared" si="69"/>
        <v>2</v>
      </c>
      <c r="AV234" s="665">
        <f t="shared" si="74"/>
        <v>6</v>
      </c>
      <c r="AW234" s="687">
        <f t="shared" si="70"/>
        <v>2</v>
      </c>
      <c r="AX234" s="663">
        <f t="shared" si="71"/>
        <v>12</v>
      </c>
      <c r="AY234" s="687">
        <f t="shared" si="73"/>
        <v>1</v>
      </c>
      <c r="AZ234" s="687"/>
      <c r="BA234" s="687"/>
      <c r="BC234" s="688">
        <f t="shared" si="72"/>
        <v>5.4794520547945206E-3</v>
      </c>
    </row>
    <row r="235" spans="1:55" x14ac:dyDescent="0.25">
      <c r="C235" s="662" t="s">
        <v>939</v>
      </c>
      <c r="D235" s="663"/>
      <c r="I235" s="662">
        <v>3</v>
      </c>
      <c r="J235" s="662">
        <v>2</v>
      </c>
      <c r="K235" s="662">
        <v>3</v>
      </c>
      <c r="L235" s="662">
        <v>5</v>
      </c>
      <c r="M235" s="662">
        <v>2</v>
      </c>
      <c r="N235" s="662">
        <v>4</v>
      </c>
      <c r="O235" s="662">
        <v>4</v>
      </c>
      <c r="P235" s="662">
        <v>2</v>
      </c>
      <c r="Q235" s="681">
        <f t="shared" si="68"/>
        <v>25</v>
      </c>
      <c r="R235" s="691"/>
      <c r="S235" s="662">
        <v>3</v>
      </c>
      <c r="T235" s="662">
        <v>6</v>
      </c>
      <c r="U235" s="662">
        <v>5</v>
      </c>
      <c r="V235" s="662">
        <v>1</v>
      </c>
      <c r="W235" s="683"/>
      <c r="X235" s="683">
        <v>2</v>
      </c>
      <c r="Y235" s="683">
        <v>3</v>
      </c>
      <c r="Z235" s="683">
        <v>5</v>
      </c>
      <c r="AA235" s="683">
        <v>2</v>
      </c>
      <c r="AB235" s="683">
        <v>4</v>
      </c>
      <c r="AC235" s="683">
        <v>4</v>
      </c>
      <c r="AD235" s="683">
        <v>2</v>
      </c>
      <c r="AE235" s="684">
        <f t="shared" si="76"/>
        <v>37</v>
      </c>
      <c r="AG235" s="710">
        <v>3</v>
      </c>
      <c r="AH235" s="710">
        <v>3</v>
      </c>
      <c r="AI235" s="710">
        <v>3</v>
      </c>
      <c r="AJ235" s="710">
        <v>3</v>
      </c>
      <c r="AK235" s="710">
        <v>3</v>
      </c>
      <c r="AL235" s="710">
        <v>3</v>
      </c>
      <c r="AM235" s="710">
        <v>3</v>
      </c>
      <c r="AN235" s="710">
        <v>3</v>
      </c>
      <c r="AO235" s="710">
        <v>3</v>
      </c>
      <c r="AP235" s="710">
        <v>3</v>
      </c>
      <c r="AQ235" s="710">
        <v>4</v>
      </c>
      <c r="AR235" s="710">
        <v>3</v>
      </c>
      <c r="AS235" s="685">
        <f t="shared" si="84"/>
        <v>37</v>
      </c>
      <c r="AU235" s="686">
        <f t="shared" si="69"/>
        <v>25</v>
      </c>
      <c r="AV235" s="665">
        <f t="shared" si="74"/>
        <v>37</v>
      </c>
      <c r="AW235" s="687">
        <f t="shared" si="70"/>
        <v>0.48</v>
      </c>
      <c r="AX235" s="663">
        <f t="shared" si="71"/>
        <v>37</v>
      </c>
      <c r="AY235" s="687">
        <f t="shared" si="73"/>
        <v>0</v>
      </c>
      <c r="AZ235" s="687"/>
      <c r="BA235" s="687"/>
      <c r="BC235" s="688">
        <f t="shared" si="72"/>
        <v>0.1095890410958904</v>
      </c>
    </row>
    <row r="236" spans="1:55" x14ac:dyDescent="0.25">
      <c r="C236" s="662" t="s">
        <v>961</v>
      </c>
      <c r="D236" s="663"/>
      <c r="K236" s="662">
        <v>1</v>
      </c>
      <c r="Q236" s="681">
        <f t="shared" si="68"/>
        <v>1</v>
      </c>
      <c r="R236" s="691"/>
      <c r="V236" s="662">
        <v>4</v>
      </c>
      <c r="W236" s="683"/>
      <c r="X236" s="683">
        <f t="shared" si="83"/>
        <v>0.42465753424657532</v>
      </c>
      <c r="Y236" s="683">
        <f t="shared" si="83"/>
        <v>0.42465753424657532</v>
      </c>
      <c r="Z236" s="683">
        <f t="shared" si="83"/>
        <v>0.38356164383561642</v>
      </c>
      <c r="AA236" s="683">
        <f t="shared" si="83"/>
        <v>0.42465753424657532</v>
      </c>
      <c r="AB236" s="683">
        <f t="shared" si="83"/>
        <v>0.41095890410958902</v>
      </c>
      <c r="AC236" s="683">
        <f t="shared" si="83"/>
        <v>0.42465753424657532</v>
      </c>
      <c r="AD236" s="683">
        <f t="shared" si="83"/>
        <v>0.41095890410958902</v>
      </c>
      <c r="AE236" s="684">
        <f t="shared" si="76"/>
        <v>6.9041095890410968</v>
      </c>
      <c r="AG236" s="710">
        <v>1</v>
      </c>
      <c r="AH236" s="710">
        <v>1</v>
      </c>
      <c r="AI236" s="710">
        <v>1</v>
      </c>
      <c r="AJ236" s="710">
        <v>1</v>
      </c>
      <c r="AK236" s="710">
        <v>1</v>
      </c>
      <c r="AL236" s="710">
        <v>1</v>
      </c>
      <c r="AM236" s="710">
        <v>1</v>
      </c>
      <c r="AN236" s="710">
        <v>1</v>
      </c>
      <c r="AO236" s="710">
        <v>1</v>
      </c>
      <c r="AP236" s="710">
        <v>1</v>
      </c>
      <c r="AQ236" s="710">
        <v>1</v>
      </c>
      <c r="AR236" s="710">
        <v>1</v>
      </c>
      <c r="AS236" s="685">
        <f t="shared" si="84"/>
        <v>12</v>
      </c>
      <c r="AU236" s="686">
        <f t="shared" si="69"/>
        <v>1</v>
      </c>
      <c r="AV236" s="665">
        <f t="shared" si="74"/>
        <v>6.9041095890410968</v>
      </c>
      <c r="AW236" s="687">
        <f t="shared" si="70"/>
        <v>5.9041095890410968</v>
      </c>
      <c r="AX236" s="663">
        <f t="shared" si="71"/>
        <v>12</v>
      </c>
      <c r="AY236" s="687">
        <f t="shared" si="73"/>
        <v>0.73809523809523792</v>
      </c>
      <c r="AZ236" s="687"/>
      <c r="BA236" s="687"/>
      <c r="BC236" s="688">
        <f t="shared" si="72"/>
        <v>1.3698630136986301E-2</v>
      </c>
    </row>
    <row r="237" spans="1:55" x14ac:dyDescent="0.25">
      <c r="B237" s="662" t="s">
        <v>1111</v>
      </c>
      <c r="C237" s="662" t="s">
        <v>939</v>
      </c>
      <c r="D237" s="663" t="s">
        <v>1013</v>
      </c>
      <c r="Q237" s="681">
        <f t="shared" si="68"/>
        <v>0</v>
      </c>
      <c r="R237" s="691"/>
      <c r="S237" s="662">
        <v>1</v>
      </c>
      <c r="T237" s="662">
        <v>2</v>
      </c>
      <c r="U237" s="662">
        <v>1</v>
      </c>
      <c r="V237" s="662">
        <v>1</v>
      </c>
      <c r="W237" s="683">
        <v>1</v>
      </c>
      <c r="X237" s="683">
        <v>4</v>
      </c>
      <c r="Y237" s="683">
        <v>4</v>
      </c>
      <c r="Z237" s="683">
        <v>4</v>
      </c>
      <c r="AA237" s="683">
        <v>4</v>
      </c>
      <c r="AB237" s="683">
        <v>4</v>
      </c>
      <c r="AC237" s="683">
        <v>4</v>
      </c>
      <c r="AD237" s="683">
        <v>4</v>
      </c>
      <c r="AE237" s="684">
        <f t="shared" si="76"/>
        <v>34</v>
      </c>
      <c r="AG237" s="710">
        <v>1</v>
      </c>
      <c r="AH237" s="710">
        <v>1</v>
      </c>
      <c r="AI237" s="710">
        <v>1</v>
      </c>
      <c r="AJ237" s="710">
        <v>1</v>
      </c>
      <c r="AK237" s="710">
        <v>1</v>
      </c>
      <c r="AL237" s="710">
        <v>1</v>
      </c>
      <c r="AM237" s="710">
        <v>1</v>
      </c>
      <c r="AN237" s="710">
        <v>1</v>
      </c>
      <c r="AO237" s="710">
        <v>1</v>
      </c>
      <c r="AP237" s="710">
        <v>1</v>
      </c>
      <c r="AQ237" s="710">
        <v>1</v>
      </c>
      <c r="AR237" s="710">
        <v>1</v>
      </c>
      <c r="AS237" s="685">
        <f t="shared" si="84"/>
        <v>12</v>
      </c>
      <c r="AU237" s="686">
        <f t="shared" si="69"/>
        <v>0</v>
      </c>
      <c r="AV237" s="665">
        <f t="shared" si="74"/>
        <v>34</v>
      </c>
      <c r="AW237" s="687">
        <v>1</v>
      </c>
      <c r="AX237" s="663">
        <f t="shared" si="71"/>
        <v>12</v>
      </c>
      <c r="AY237" s="687">
        <f t="shared" si="73"/>
        <v>-0.64705882352941169</v>
      </c>
      <c r="AZ237" s="687"/>
      <c r="BA237" s="687"/>
      <c r="BC237" s="688">
        <f t="shared" si="72"/>
        <v>1.3698630136986301E-2</v>
      </c>
    </row>
    <row r="238" spans="1:55" x14ac:dyDescent="0.25">
      <c r="B238" s="662" t="s">
        <v>1112</v>
      </c>
      <c r="C238" s="662" t="s">
        <v>932</v>
      </c>
      <c r="D238" s="663"/>
      <c r="I238" s="662">
        <v>1</v>
      </c>
      <c r="Q238" s="681">
        <f t="shared" si="68"/>
        <v>1</v>
      </c>
      <c r="R238" s="691"/>
      <c r="W238" s="683">
        <v>0</v>
      </c>
      <c r="X238" s="683">
        <v>0</v>
      </c>
      <c r="Y238" s="683">
        <v>0</v>
      </c>
      <c r="Z238" s="683">
        <v>0</v>
      </c>
      <c r="AA238" s="683">
        <v>0</v>
      </c>
      <c r="AB238" s="683">
        <v>0</v>
      </c>
      <c r="AC238" s="683">
        <v>0</v>
      </c>
      <c r="AD238" s="683">
        <v>0</v>
      </c>
      <c r="AE238" s="684">
        <f t="shared" si="76"/>
        <v>0</v>
      </c>
      <c r="AG238" s="710">
        <v>0</v>
      </c>
      <c r="AH238" s="710">
        <v>0</v>
      </c>
      <c r="AI238" s="710">
        <v>0</v>
      </c>
      <c r="AJ238" s="710">
        <v>0</v>
      </c>
      <c r="AK238" s="710">
        <v>0</v>
      </c>
      <c r="AL238" s="710">
        <v>0</v>
      </c>
      <c r="AM238" s="710">
        <v>0</v>
      </c>
      <c r="AN238" s="710">
        <v>0</v>
      </c>
      <c r="AO238" s="710">
        <v>0</v>
      </c>
      <c r="AP238" s="710">
        <v>0</v>
      </c>
      <c r="AQ238" s="710">
        <v>0</v>
      </c>
      <c r="AR238" s="710">
        <v>0</v>
      </c>
      <c r="AS238" s="685">
        <f t="shared" si="84"/>
        <v>0</v>
      </c>
      <c r="AU238" s="686">
        <f t="shared" si="69"/>
        <v>1</v>
      </c>
      <c r="AV238" s="665">
        <f t="shared" si="74"/>
        <v>0</v>
      </c>
      <c r="AW238" s="687">
        <f t="shared" si="70"/>
        <v>-1</v>
      </c>
      <c r="AX238" s="663">
        <f t="shared" si="71"/>
        <v>0</v>
      </c>
      <c r="AY238" s="687">
        <v>0</v>
      </c>
      <c r="AZ238" s="687"/>
      <c r="BA238" s="687"/>
      <c r="BC238" s="688">
        <f t="shared" si="72"/>
        <v>2.7397260273972603E-3</v>
      </c>
    </row>
    <row r="239" spans="1:55" x14ac:dyDescent="0.25">
      <c r="C239" s="662" t="s">
        <v>939</v>
      </c>
      <c r="D239" s="663"/>
      <c r="E239" s="662">
        <v>8</v>
      </c>
      <c r="F239" s="662">
        <v>6</v>
      </c>
      <c r="G239" s="662">
        <v>3</v>
      </c>
      <c r="H239" s="662">
        <v>2</v>
      </c>
      <c r="I239" s="662">
        <v>2</v>
      </c>
      <c r="J239" s="662">
        <v>5</v>
      </c>
      <c r="K239" s="662">
        <v>4</v>
      </c>
      <c r="L239" s="662">
        <v>1</v>
      </c>
      <c r="M239" s="662">
        <v>7</v>
      </c>
      <c r="N239" s="662">
        <v>2</v>
      </c>
      <c r="O239" s="662">
        <v>5</v>
      </c>
      <c r="P239" s="662">
        <v>3</v>
      </c>
      <c r="Q239" s="681">
        <f t="shared" si="68"/>
        <v>48</v>
      </c>
      <c r="R239" s="691"/>
      <c r="S239" s="662">
        <v>5</v>
      </c>
      <c r="T239" s="662">
        <v>9</v>
      </c>
      <c r="U239" s="662">
        <v>1</v>
      </c>
      <c r="V239" s="662">
        <v>7</v>
      </c>
      <c r="W239" s="683">
        <v>1</v>
      </c>
      <c r="X239" s="683">
        <f t="shared" si="83"/>
        <v>4.331506849315069</v>
      </c>
      <c r="Y239" s="683">
        <f t="shared" si="83"/>
        <v>4.331506849315069</v>
      </c>
      <c r="Z239" s="683">
        <f t="shared" si="83"/>
        <v>3.912328767123288</v>
      </c>
      <c r="AA239" s="683">
        <f t="shared" si="83"/>
        <v>4.331506849315069</v>
      </c>
      <c r="AB239" s="683">
        <f t="shared" si="83"/>
        <v>4.1917808219178081</v>
      </c>
      <c r="AC239" s="683">
        <f t="shared" si="83"/>
        <v>4.331506849315069</v>
      </c>
      <c r="AD239" s="683">
        <f t="shared" si="83"/>
        <v>4.1917808219178081</v>
      </c>
      <c r="AE239" s="684">
        <f t="shared" si="76"/>
        <v>52.62191780821918</v>
      </c>
      <c r="AG239" s="710">
        <v>4</v>
      </c>
      <c r="AH239" s="710">
        <v>4</v>
      </c>
      <c r="AI239" s="710">
        <v>4</v>
      </c>
      <c r="AJ239" s="710">
        <v>4</v>
      </c>
      <c r="AK239" s="710">
        <v>4</v>
      </c>
      <c r="AL239" s="710">
        <v>4</v>
      </c>
      <c r="AM239" s="710">
        <v>3</v>
      </c>
      <c r="AN239" s="710">
        <v>3</v>
      </c>
      <c r="AO239" s="710">
        <v>3</v>
      </c>
      <c r="AP239" s="710">
        <v>3</v>
      </c>
      <c r="AQ239" s="710">
        <v>2</v>
      </c>
      <c r="AR239" s="710">
        <v>2</v>
      </c>
      <c r="AS239" s="685">
        <f t="shared" si="84"/>
        <v>40</v>
      </c>
      <c r="AU239" s="686">
        <f t="shared" si="69"/>
        <v>48</v>
      </c>
      <c r="AV239" s="665">
        <f t="shared" si="74"/>
        <v>52.62191780821918</v>
      </c>
      <c r="AW239" s="687">
        <f t="shared" si="70"/>
        <v>9.6289954337899664E-2</v>
      </c>
      <c r="AX239" s="663">
        <f t="shared" si="71"/>
        <v>40</v>
      </c>
      <c r="AY239" s="687">
        <f t="shared" si="73"/>
        <v>-0.23986046753787682</v>
      </c>
      <c r="AZ239" s="687"/>
      <c r="BA239" s="687"/>
      <c r="BC239" s="688">
        <f t="shared" si="72"/>
        <v>0.13972602739726028</v>
      </c>
    </row>
    <row r="240" spans="1:55" x14ac:dyDescent="0.25">
      <c r="C240" s="662" t="s">
        <v>961</v>
      </c>
      <c r="D240" s="663"/>
      <c r="E240" s="662">
        <v>1</v>
      </c>
      <c r="F240" s="662">
        <v>1</v>
      </c>
      <c r="H240" s="662">
        <v>1</v>
      </c>
      <c r="P240" s="691"/>
      <c r="Q240" s="681">
        <f t="shared" si="68"/>
        <v>3</v>
      </c>
      <c r="R240" s="691"/>
      <c r="T240" s="662">
        <v>1</v>
      </c>
      <c r="U240" s="662">
        <v>1</v>
      </c>
      <c r="W240" s="683">
        <v>1</v>
      </c>
      <c r="X240" s="683">
        <v>0</v>
      </c>
      <c r="Y240" s="683">
        <v>0</v>
      </c>
      <c r="Z240" s="683">
        <v>0</v>
      </c>
      <c r="AA240" s="683">
        <v>0</v>
      </c>
      <c r="AB240" s="683">
        <v>0</v>
      </c>
      <c r="AC240" s="683">
        <v>0</v>
      </c>
      <c r="AD240" s="683">
        <v>0</v>
      </c>
      <c r="AE240" s="684">
        <f t="shared" si="76"/>
        <v>3</v>
      </c>
      <c r="AG240" s="710">
        <v>0</v>
      </c>
      <c r="AH240" s="710">
        <f t="shared" ref="AH240:AR243" si="85">ROUND($AE240/365*AH$1,0)</f>
        <v>0</v>
      </c>
      <c r="AI240" s="710">
        <f t="shared" si="85"/>
        <v>0</v>
      </c>
      <c r="AJ240" s="710">
        <f t="shared" si="85"/>
        <v>0</v>
      </c>
      <c r="AK240" s="710">
        <f t="shared" si="85"/>
        <v>0</v>
      </c>
      <c r="AL240" s="710">
        <f t="shared" si="85"/>
        <v>0</v>
      </c>
      <c r="AM240" s="710">
        <f t="shared" si="85"/>
        <v>0</v>
      </c>
      <c r="AN240" s="710">
        <f t="shared" si="85"/>
        <v>0</v>
      </c>
      <c r="AO240" s="710">
        <f t="shared" si="85"/>
        <v>0</v>
      </c>
      <c r="AP240" s="710">
        <f t="shared" si="85"/>
        <v>0</v>
      </c>
      <c r="AQ240" s="710">
        <f t="shared" si="85"/>
        <v>0</v>
      </c>
      <c r="AR240" s="710">
        <f t="shared" si="85"/>
        <v>0</v>
      </c>
      <c r="AS240" s="685">
        <f t="shared" si="84"/>
        <v>0</v>
      </c>
      <c r="AU240" s="686">
        <f t="shared" si="69"/>
        <v>3</v>
      </c>
      <c r="AV240" s="665">
        <f t="shared" si="74"/>
        <v>3</v>
      </c>
      <c r="AW240" s="687">
        <f t="shared" si="70"/>
        <v>0</v>
      </c>
      <c r="AX240" s="663">
        <f t="shared" si="71"/>
        <v>0</v>
      </c>
      <c r="AY240" s="687">
        <f t="shared" si="73"/>
        <v>-1</v>
      </c>
      <c r="AZ240" s="687"/>
      <c r="BA240" s="687"/>
      <c r="BC240" s="688">
        <f t="shared" si="72"/>
        <v>5.4794520547945206E-3</v>
      </c>
    </row>
    <row r="241" spans="2:55" x14ac:dyDescent="0.25">
      <c r="B241" s="662" t="s">
        <v>1113</v>
      </c>
      <c r="C241" s="662" t="s">
        <v>939</v>
      </c>
      <c r="D241" s="663"/>
      <c r="E241" s="664">
        <v>1</v>
      </c>
      <c r="F241" s="664"/>
      <c r="G241" s="664">
        <v>2</v>
      </c>
      <c r="H241" s="664"/>
      <c r="I241" s="664">
        <v>1</v>
      </c>
      <c r="J241" s="664"/>
      <c r="K241" s="664"/>
      <c r="L241" s="664"/>
      <c r="M241" s="664"/>
      <c r="N241" s="664"/>
      <c r="O241" s="664">
        <v>1</v>
      </c>
      <c r="P241" s="681">
        <v>3</v>
      </c>
      <c r="Q241" s="681">
        <f t="shared" si="68"/>
        <v>8</v>
      </c>
      <c r="R241" s="681"/>
      <c r="S241" s="662">
        <v>1</v>
      </c>
      <c r="T241" s="662">
        <v>2</v>
      </c>
      <c r="U241" s="662">
        <v>2</v>
      </c>
      <c r="W241" s="683"/>
      <c r="X241" s="683">
        <v>0</v>
      </c>
      <c r="Y241" s="683">
        <v>0</v>
      </c>
      <c r="Z241" s="683">
        <v>1</v>
      </c>
      <c r="AA241" s="683">
        <v>1</v>
      </c>
      <c r="AB241" s="683">
        <v>1</v>
      </c>
      <c r="AC241" s="683">
        <v>0</v>
      </c>
      <c r="AD241" s="683">
        <v>0</v>
      </c>
      <c r="AE241" s="684">
        <f t="shared" si="76"/>
        <v>8</v>
      </c>
      <c r="AG241" s="710">
        <v>1</v>
      </c>
      <c r="AH241" s="710">
        <v>1</v>
      </c>
      <c r="AI241" s="710">
        <v>1</v>
      </c>
      <c r="AJ241" s="710">
        <v>1</v>
      </c>
      <c r="AK241" s="710">
        <v>1</v>
      </c>
      <c r="AL241" s="710">
        <v>1</v>
      </c>
      <c r="AM241" s="710">
        <v>1</v>
      </c>
      <c r="AN241" s="710">
        <v>1</v>
      </c>
      <c r="AO241" s="710">
        <v>1</v>
      </c>
      <c r="AP241" s="710">
        <v>1</v>
      </c>
      <c r="AQ241" s="710">
        <v>1</v>
      </c>
      <c r="AR241" s="710">
        <v>1</v>
      </c>
      <c r="AS241" s="685">
        <f t="shared" si="84"/>
        <v>12</v>
      </c>
      <c r="AU241" s="686">
        <f t="shared" si="69"/>
        <v>8</v>
      </c>
      <c r="AV241" s="665">
        <f t="shared" si="74"/>
        <v>8</v>
      </c>
      <c r="AW241" s="687">
        <f t="shared" si="70"/>
        <v>0</v>
      </c>
      <c r="AX241" s="663">
        <f t="shared" si="71"/>
        <v>12</v>
      </c>
      <c r="AY241" s="687">
        <f t="shared" si="73"/>
        <v>0.5</v>
      </c>
      <c r="AZ241" s="687"/>
      <c r="BA241" s="687"/>
      <c r="BC241" s="688">
        <f t="shared" si="72"/>
        <v>2.7397260273972601E-2</v>
      </c>
    </row>
    <row r="242" spans="2:55" x14ac:dyDescent="0.25">
      <c r="C242" s="662" t="s">
        <v>961</v>
      </c>
      <c r="D242" s="663"/>
      <c r="F242" s="662">
        <v>4</v>
      </c>
      <c r="G242" s="662">
        <v>4</v>
      </c>
      <c r="H242" s="662">
        <v>4</v>
      </c>
      <c r="I242" s="662">
        <v>4</v>
      </c>
      <c r="J242" s="662">
        <v>3</v>
      </c>
      <c r="K242" s="662">
        <v>5</v>
      </c>
      <c r="L242" s="662">
        <v>2</v>
      </c>
      <c r="M242" s="662">
        <v>8</v>
      </c>
      <c r="N242" s="662">
        <v>2</v>
      </c>
      <c r="O242" s="662">
        <v>2</v>
      </c>
      <c r="P242" s="662">
        <v>4</v>
      </c>
      <c r="Q242" s="681">
        <f t="shared" si="68"/>
        <v>42</v>
      </c>
      <c r="R242" s="691"/>
      <c r="S242" s="662">
        <v>4</v>
      </c>
      <c r="T242" s="662">
        <v>3</v>
      </c>
      <c r="U242" s="662">
        <v>3</v>
      </c>
      <c r="W242" s="683">
        <v>2</v>
      </c>
      <c r="X242" s="683">
        <f t="shared" si="83"/>
        <v>3.3972602739726026</v>
      </c>
      <c r="Y242" s="683">
        <v>5</v>
      </c>
      <c r="Z242" s="683">
        <v>2</v>
      </c>
      <c r="AA242" s="683">
        <v>8</v>
      </c>
      <c r="AB242" s="683">
        <v>2</v>
      </c>
      <c r="AC242" s="683">
        <v>2</v>
      </c>
      <c r="AD242" s="683">
        <v>4</v>
      </c>
      <c r="AE242" s="684">
        <f t="shared" si="76"/>
        <v>38.397260273972606</v>
      </c>
      <c r="AG242" s="710">
        <v>3</v>
      </c>
      <c r="AH242" s="710">
        <v>3</v>
      </c>
      <c r="AI242" s="710">
        <v>3</v>
      </c>
      <c r="AJ242" s="710">
        <v>3</v>
      </c>
      <c r="AK242" s="710">
        <v>3</v>
      </c>
      <c r="AL242" s="710">
        <v>3</v>
      </c>
      <c r="AM242" s="710">
        <v>3</v>
      </c>
      <c r="AN242" s="710">
        <v>3</v>
      </c>
      <c r="AO242" s="710">
        <v>3</v>
      </c>
      <c r="AP242" s="710">
        <v>3</v>
      </c>
      <c r="AQ242" s="710">
        <v>3</v>
      </c>
      <c r="AR242" s="710">
        <v>3</v>
      </c>
      <c r="AS242" s="685">
        <f t="shared" si="84"/>
        <v>36</v>
      </c>
      <c r="AU242" s="686">
        <f t="shared" si="69"/>
        <v>42</v>
      </c>
      <c r="AV242" s="665">
        <f t="shared" si="74"/>
        <v>38.397260273972606</v>
      </c>
      <c r="AW242" s="687">
        <f t="shared" si="70"/>
        <v>-8.5779517286366569E-2</v>
      </c>
      <c r="AX242" s="663">
        <f t="shared" si="71"/>
        <v>36</v>
      </c>
      <c r="AY242" s="687">
        <f t="shared" si="73"/>
        <v>-6.2433107384944786E-2</v>
      </c>
      <c r="AZ242" s="687"/>
      <c r="BA242" s="687"/>
      <c r="BC242" s="688">
        <f t="shared" si="72"/>
        <v>0.1095890410958904</v>
      </c>
    </row>
    <row r="243" spans="2:55" x14ac:dyDescent="0.25">
      <c r="B243" s="662" t="s">
        <v>1114</v>
      </c>
      <c r="C243" s="662" t="s">
        <v>932</v>
      </c>
      <c r="D243" s="663" t="s">
        <v>1115</v>
      </c>
      <c r="E243" s="662">
        <v>1</v>
      </c>
      <c r="Q243" s="681">
        <f t="shared" si="68"/>
        <v>1</v>
      </c>
      <c r="R243" s="691"/>
      <c r="W243" s="683"/>
      <c r="X243" s="683">
        <f t="shared" si="83"/>
        <v>0</v>
      </c>
      <c r="Y243" s="683">
        <f t="shared" si="83"/>
        <v>0</v>
      </c>
      <c r="Z243" s="683">
        <f t="shared" si="83"/>
        <v>0</v>
      </c>
      <c r="AA243" s="683">
        <f t="shared" si="83"/>
        <v>0</v>
      </c>
      <c r="AB243" s="683">
        <f t="shared" si="83"/>
        <v>0</v>
      </c>
      <c r="AC243" s="683">
        <f t="shared" si="83"/>
        <v>0</v>
      </c>
      <c r="AD243" s="683">
        <f t="shared" si="83"/>
        <v>0</v>
      </c>
      <c r="AE243" s="684">
        <f t="shared" si="76"/>
        <v>0</v>
      </c>
      <c r="AG243" s="710">
        <v>0</v>
      </c>
      <c r="AH243" s="710">
        <f t="shared" si="85"/>
        <v>0</v>
      </c>
      <c r="AI243" s="710">
        <f t="shared" si="85"/>
        <v>0</v>
      </c>
      <c r="AJ243" s="710">
        <f t="shared" si="85"/>
        <v>0</v>
      </c>
      <c r="AK243" s="710">
        <f t="shared" si="85"/>
        <v>0</v>
      </c>
      <c r="AL243" s="710">
        <f t="shared" si="85"/>
        <v>0</v>
      </c>
      <c r="AM243" s="710">
        <f t="shared" si="85"/>
        <v>0</v>
      </c>
      <c r="AN243" s="710">
        <f t="shared" si="85"/>
        <v>0</v>
      </c>
      <c r="AO243" s="710">
        <f t="shared" si="85"/>
        <v>0</v>
      </c>
      <c r="AP243" s="710">
        <f t="shared" si="85"/>
        <v>0</v>
      </c>
      <c r="AQ243" s="710">
        <f t="shared" si="85"/>
        <v>0</v>
      </c>
      <c r="AR243" s="710">
        <f t="shared" si="85"/>
        <v>0</v>
      </c>
      <c r="AS243" s="685">
        <f t="shared" si="84"/>
        <v>0</v>
      </c>
      <c r="AU243" s="686">
        <f t="shared" si="69"/>
        <v>1</v>
      </c>
      <c r="AV243" s="665">
        <f t="shared" si="74"/>
        <v>0</v>
      </c>
      <c r="AW243" s="687">
        <f t="shared" si="70"/>
        <v>-1</v>
      </c>
      <c r="AX243" s="663">
        <f t="shared" si="71"/>
        <v>0</v>
      </c>
      <c r="AY243" s="687">
        <v>0</v>
      </c>
      <c r="AZ243" s="687"/>
      <c r="BA243" s="687"/>
      <c r="BC243" s="688">
        <f t="shared" si="72"/>
        <v>0</v>
      </c>
    </row>
    <row r="244" spans="2:55" x14ac:dyDescent="0.25">
      <c r="C244" s="662" t="s">
        <v>939</v>
      </c>
      <c r="D244" s="663"/>
      <c r="F244" s="662">
        <v>5</v>
      </c>
      <c r="G244" s="662">
        <v>3</v>
      </c>
      <c r="H244" s="662">
        <v>6</v>
      </c>
      <c r="I244" s="662">
        <v>3</v>
      </c>
      <c r="K244" s="662">
        <v>4</v>
      </c>
      <c r="L244" s="662">
        <v>1</v>
      </c>
      <c r="P244" s="662">
        <v>2</v>
      </c>
      <c r="Q244" s="681">
        <f t="shared" si="68"/>
        <v>24</v>
      </c>
      <c r="R244" s="691"/>
      <c r="W244" s="683">
        <v>6</v>
      </c>
      <c r="X244" s="683">
        <v>4</v>
      </c>
      <c r="Y244" s="683">
        <v>4</v>
      </c>
      <c r="Z244" s="683">
        <v>3</v>
      </c>
      <c r="AA244" s="683">
        <v>4</v>
      </c>
      <c r="AB244" s="683">
        <v>3</v>
      </c>
      <c r="AC244" s="683">
        <v>4</v>
      </c>
      <c r="AD244" s="683">
        <v>3</v>
      </c>
      <c r="AE244" s="684">
        <f t="shared" si="76"/>
        <v>31</v>
      </c>
      <c r="AG244" s="710">
        <v>3</v>
      </c>
      <c r="AH244" s="710">
        <v>3</v>
      </c>
      <c r="AI244" s="710">
        <v>3</v>
      </c>
      <c r="AJ244" s="710">
        <v>3</v>
      </c>
      <c r="AK244" s="710">
        <v>3</v>
      </c>
      <c r="AL244" s="710">
        <v>3</v>
      </c>
      <c r="AM244" s="710">
        <v>3</v>
      </c>
      <c r="AN244" s="710">
        <v>3</v>
      </c>
      <c r="AO244" s="710">
        <v>3</v>
      </c>
      <c r="AP244" s="710">
        <v>3</v>
      </c>
      <c r="AQ244" s="710">
        <v>3</v>
      </c>
      <c r="AR244" s="710">
        <v>3</v>
      </c>
      <c r="AS244" s="685">
        <f t="shared" si="84"/>
        <v>36</v>
      </c>
      <c r="AU244" s="686">
        <f t="shared" si="69"/>
        <v>24</v>
      </c>
      <c r="AV244" s="665">
        <f t="shared" si="74"/>
        <v>31</v>
      </c>
      <c r="AW244" s="687">
        <f t="shared" si="70"/>
        <v>0.29166666666666674</v>
      </c>
      <c r="AX244" s="663">
        <f t="shared" si="71"/>
        <v>36</v>
      </c>
      <c r="AY244" s="687">
        <f t="shared" si="73"/>
        <v>0.16129032258064524</v>
      </c>
      <c r="AZ244" s="687"/>
      <c r="BA244" s="687"/>
      <c r="BC244" s="688">
        <f t="shared" si="72"/>
        <v>2.7397260273972601E-2</v>
      </c>
    </row>
    <row r="245" spans="2:55" x14ac:dyDescent="0.25">
      <c r="C245" s="662" t="s">
        <v>961</v>
      </c>
      <c r="D245" s="663"/>
      <c r="F245" s="662">
        <v>3</v>
      </c>
      <c r="G245" s="662">
        <v>2</v>
      </c>
      <c r="H245" s="662">
        <v>5</v>
      </c>
      <c r="I245" s="662">
        <v>3</v>
      </c>
      <c r="J245" s="662">
        <v>6</v>
      </c>
      <c r="L245" s="662">
        <v>3</v>
      </c>
      <c r="M245" s="662">
        <v>2</v>
      </c>
      <c r="P245" s="662">
        <v>4</v>
      </c>
      <c r="Q245" s="681">
        <f t="shared" si="68"/>
        <v>28</v>
      </c>
      <c r="R245" s="691"/>
      <c r="W245" s="683"/>
      <c r="X245" s="683">
        <v>3</v>
      </c>
      <c r="Y245" s="683">
        <v>3</v>
      </c>
      <c r="Z245" s="683">
        <v>3</v>
      </c>
      <c r="AA245" s="683">
        <v>3</v>
      </c>
      <c r="AB245" s="683">
        <v>3</v>
      </c>
      <c r="AC245" s="683">
        <v>3</v>
      </c>
      <c r="AD245" s="683">
        <v>3</v>
      </c>
      <c r="AE245" s="684">
        <f t="shared" si="76"/>
        <v>21</v>
      </c>
      <c r="AG245" s="710">
        <v>2</v>
      </c>
      <c r="AH245" s="710">
        <v>2</v>
      </c>
      <c r="AI245" s="710">
        <v>2</v>
      </c>
      <c r="AJ245" s="710">
        <v>2</v>
      </c>
      <c r="AK245" s="710">
        <v>2</v>
      </c>
      <c r="AL245" s="710">
        <v>2</v>
      </c>
      <c r="AM245" s="710">
        <v>2</v>
      </c>
      <c r="AN245" s="710">
        <v>2</v>
      </c>
      <c r="AO245" s="710">
        <v>2</v>
      </c>
      <c r="AP245" s="710">
        <v>2</v>
      </c>
      <c r="AQ245" s="710">
        <v>2</v>
      </c>
      <c r="AR245" s="710">
        <v>2</v>
      </c>
      <c r="AS245" s="685">
        <f t="shared" si="84"/>
        <v>24</v>
      </c>
      <c r="AU245" s="686">
        <f t="shared" si="69"/>
        <v>28</v>
      </c>
      <c r="AV245" s="665">
        <f t="shared" si="74"/>
        <v>21</v>
      </c>
      <c r="AW245" s="687">
        <f t="shared" si="70"/>
        <v>-0.25</v>
      </c>
      <c r="AX245" s="663">
        <f t="shared" si="71"/>
        <v>24</v>
      </c>
      <c r="AY245" s="687">
        <f t="shared" si="73"/>
        <v>0.14285714285714279</v>
      </c>
      <c r="AZ245" s="687"/>
      <c r="BA245" s="687"/>
      <c r="BC245" s="688">
        <f t="shared" si="72"/>
        <v>4.9315068493150684E-2</v>
      </c>
    </row>
    <row r="246" spans="2:55" x14ac:dyDescent="0.25">
      <c r="B246" s="662" t="s">
        <v>1116</v>
      </c>
      <c r="C246" s="662" t="s">
        <v>932</v>
      </c>
      <c r="D246" s="663"/>
      <c r="E246" s="662">
        <v>1</v>
      </c>
      <c r="Q246" s="681">
        <f t="shared" si="68"/>
        <v>1</v>
      </c>
      <c r="R246" s="691"/>
      <c r="W246" s="683"/>
      <c r="X246" s="683">
        <f t="shared" si="83"/>
        <v>0</v>
      </c>
      <c r="Y246" s="683">
        <f t="shared" si="83"/>
        <v>0</v>
      </c>
      <c r="Z246" s="683">
        <f t="shared" si="83"/>
        <v>0</v>
      </c>
      <c r="AA246" s="683">
        <f t="shared" si="83"/>
        <v>0</v>
      </c>
      <c r="AB246" s="683">
        <f t="shared" si="83"/>
        <v>0</v>
      </c>
      <c r="AC246" s="683">
        <f t="shared" si="83"/>
        <v>0</v>
      </c>
      <c r="AD246" s="683">
        <f t="shared" si="83"/>
        <v>0</v>
      </c>
      <c r="AE246" s="684">
        <f t="shared" si="76"/>
        <v>0</v>
      </c>
      <c r="AG246" s="710">
        <v>0</v>
      </c>
      <c r="AH246" s="710">
        <f t="shared" ref="AH246:AR266" si="86">ROUND($AE246/365*AH$1,0)</f>
        <v>0</v>
      </c>
      <c r="AI246" s="710">
        <f t="shared" si="86"/>
        <v>0</v>
      </c>
      <c r="AJ246" s="710">
        <f t="shared" si="86"/>
        <v>0</v>
      </c>
      <c r="AK246" s="710">
        <f t="shared" si="86"/>
        <v>0</v>
      </c>
      <c r="AL246" s="710">
        <f t="shared" si="86"/>
        <v>0</v>
      </c>
      <c r="AM246" s="710">
        <f t="shared" si="86"/>
        <v>0</v>
      </c>
      <c r="AN246" s="710">
        <f t="shared" si="86"/>
        <v>0</v>
      </c>
      <c r="AO246" s="710">
        <f t="shared" si="86"/>
        <v>0</v>
      </c>
      <c r="AP246" s="710">
        <f t="shared" si="86"/>
        <v>0</v>
      </c>
      <c r="AQ246" s="710">
        <f t="shared" si="86"/>
        <v>0</v>
      </c>
      <c r="AR246" s="710">
        <v>0</v>
      </c>
      <c r="AS246" s="685">
        <f t="shared" si="84"/>
        <v>0</v>
      </c>
      <c r="AU246" s="686">
        <f t="shared" si="69"/>
        <v>1</v>
      </c>
      <c r="AV246" s="665">
        <f t="shared" si="74"/>
        <v>0</v>
      </c>
      <c r="AW246" s="687">
        <f t="shared" si="70"/>
        <v>-1</v>
      </c>
      <c r="AX246" s="663">
        <f t="shared" si="71"/>
        <v>0</v>
      </c>
      <c r="AY246" s="687">
        <v>0</v>
      </c>
      <c r="AZ246" s="687"/>
      <c r="BA246" s="687"/>
      <c r="BC246" s="688">
        <f t="shared" si="72"/>
        <v>0</v>
      </c>
    </row>
    <row r="247" spans="2:55" x14ac:dyDescent="0.25">
      <c r="C247" s="662" t="s">
        <v>939</v>
      </c>
      <c r="D247" s="663"/>
      <c r="E247" s="662">
        <v>1</v>
      </c>
      <c r="F247" s="662">
        <v>5</v>
      </c>
      <c r="H247" s="662">
        <v>2</v>
      </c>
      <c r="I247" s="662">
        <v>1</v>
      </c>
      <c r="J247" s="662">
        <v>3</v>
      </c>
      <c r="K247" s="662">
        <v>3</v>
      </c>
      <c r="L247" s="662">
        <v>2</v>
      </c>
      <c r="M247" s="662">
        <v>2</v>
      </c>
      <c r="N247" s="662">
        <v>1</v>
      </c>
      <c r="O247" s="662">
        <v>2</v>
      </c>
      <c r="P247" s="662">
        <v>1</v>
      </c>
      <c r="Q247" s="681">
        <f t="shared" si="68"/>
        <v>23</v>
      </c>
      <c r="R247" s="691"/>
      <c r="S247" s="662">
        <v>2</v>
      </c>
      <c r="V247" s="662">
        <v>1</v>
      </c>
      <c r="W247" s="683">
        <v>1</v>
      </c>
      <c r="X247" s="683">
        <f t="shared" si="83"/>
        <v>1.5287671232876712</v>
      </c>
      <c r="Y247" s="683">
        <f t="shared" si="83"/>
        <v>1.5287671232876712</v>
      </c>
      <c r="Z247" s="683">
        <f t="shared" si="83"/>
        <v>1.3808219178082191</v>
      </c>
      <c r="AA247" s="683">
        <f t="shared" si="83"/>
        <v>1.5287671232876712</v>
      </c>
      <c r="AB247" s="683">
        <f t="shared" si="83"/>
        <v>1.4794520547945205</v>
      </c>
      <c r="AC247" s="683">
        <f t="shared" si="83"/>
        <v>1.5287671232876712</v>
      </c>
      <c r="AD247" s="683">
        <f t="shared" si="83"/>
        <v>1.4794520547945205</v>
      </c>
      <c r="AE247" s="684">
        <f t="shared" si="76"/>
        <v>14.454794520547948</v>
      </c>
      <c r="AG247" s="710">
        <v>1</v>
      </c>
      <c r="AH247" s="710">
        <v>2</v>
      </c>
      <c r="AI247" s="710">
        <v>1</v>
      </c>
      <c r="AJ247" s="710">
        <v>1</v>
      </c>
      <c r="AK247" s="710">
        <v>2</v>
      </c>
      <c r="AL247" s="710">
        <v>2</v>
      </c>
      <c r="AM247" s="710">
        <v>1</v>
      </c>
      <c r="AN247" s="710">
        <v>2</v>
      </c>
      <c r="AO247" s="710">
        <v>1</v>
      </c>
      <c r="AP247" s="710">
        <v>2</v>
      </c>
      <c r="AQ247" s="710">
        <v>1</v>
      </c>
      <c r="AR247" s="710">
        <v>2</v>
      </c>
      <c r="AS247" s="685">
        <f t="shared" si="84"/>
        <v>18</v>
      </c>
      <c r="AU247" s="686">
        <f t="shared" si="69"/>
        <v>23</v>
      </c>
      <c r="AV247" s="665">
        <f t="shared" si="74"/>
        <v>14.454794520547948</v>
      </c>
      <c r="AW247" s="687">
        <f t="shared" si="70"/>
        <v>-0.37153067301965448</v>
      </c>
      <c r="AX247" s="663">
        <f t="shared" si="71"/>
        <v>18</v>
      </c>
      <c r="AY247" s="687">
        <f t="shared" si="73"/>
        <v>0.24526156178923397</v>
      </c>
      <c r="AZ247" s="687"/>
      <c r="BA247" s="687"/>
      <c r="BC247" s="688">
        <f t="shared" si="72"/>
        <v>4.9315068493150684E-2</v>
      </c>
    </row>
    <row r="248" spans="2:55" x14ac:dyDescent="0.25">
      <c r="C248" s="662" t="s">
        <v>961</v>
      </c>
      <c r="D248" s="663"/>
      <c r="E248" s="662">
        <v>4</v>
      </c>
      <c r="F248" s="662">
        <v>8</v>
      </c>
      <c r="H248" s="662">
        <v>3</v>
      </c>
      <c r="I248" s="662">
        <v>3</v>
      </c>
      <c r="J248" s="662">
        <v>3</v>
      </c>
      <c r="K248" s="662">
        <v>4</v>
      </c>
      <c r="L248" s="662">
        <v>4</v>
      </c>
      <c r="M248" s="662">
        <v>3</v>
      </c>
      <c r="N248" s="662">
        <v>4</v>
      </c>
      <c r="O248" s="662">
        <v>2</v>
      </c>
      <c r="P248" s="691">
        <v>4</v>
      </c>
      <c r="Q248" s="681">
        <f t="shared" si="68"/>
        <v>42</v>
      </c>
      <c r="R248" s="691"/>
      <c r="S248" s="662">
        <v>3</v>
      </c>
      <c r="T248" s="662">
        <v>7</v>
      </c>
      <c r="U248" s="662">
        <v>5</v>
      </c>
      <c r="V248" s="662">
        <v>4</v>
      </c>
      <c r="W248" s="683">
        <v>3</v>
      </c>
      <c r="X248" s="683">
        <f t="shared" si="83"/>
        <v>3.9068493150684933</v>
      </c>
      <c r="Y248" s="683">
        <f t="shared" si="83"/>
        <v>3.9068493150684933</v>
      </c>
      <c r="Z248" s="683">
        <f t="shared" si="83"/>
        <v>3.5287671232876714</v>
      </c>
      <c r="AA248" s="683">
        <f t="shared" si="83"/>
        <v>3.9068493150684933</v>
      </c>
      <c r="AB248" s="683">
        <f t="shared" si="83"/>
        <v>3.7808219178082196</v>
      </c>
      <c r="AC248" s="683">
        <f t="shared" si="83"/>
        <v>3.9068493150684933</v>
      </c>
      <c r="AD248" s="683">
        <f t="shared" si="83"/>
        <v>3.7808219178082196</v>
      </c>
      <c r="AE248" s="684">
        <f t="shared" si="76"/>
        <v>48.717808219178075</v>
      </c>
      <c r="AG248" s="710">
        <v>4</v>
      </c>
      <c r="AH248" s="710">
        <v>4</v>
      </c>
      <c r="AI248" s="710">
        <v>4</v>
      </c>
      <c r="AJ248" s="710">
        <v>4</v>
      </c>
      <c r="AK248" s="710">
        <v>4</v>
      </c>
      <c r="AL248" s="710">
        <v>4</v>
      </c>
      <c r="AM248" s="710">
        <v>4</v>
      </c>
      <c r="AN248" s="710">
        <v>4</v>
      </c>
      <c r="AO248" s="710">
        <v>4</v>
      </c>
      <c r="AP248" s="710">
        <v>4</v>
      </c>
      <c r="AQ248" s="710">
        <v>4</v>
      </c>
      <c r="AR248" s="710">
        <v>4</v>
      </c>
      <c r="AS248" s="685">
        <f t="shared" si="84"/>
        <v>48</v>
      </c>
      <c r="AU248" s="686">
        <f t="shared" si="69"/>
        <v>42</v>
      </c>
      <c r="AV248" s="665">
        <f t="shared" si="74"/>
        <v>48.717808219178075</v>
      </c>
      <c r="AW248" s="687">
        <f t="shared" si="70"/>
        <v>0.15994781474233521</v>
      </c>
      <c r="AX248" s="663">
        <f t="shared" si="71"/>
        <v>48</v>
      </c>
      <c r="AY248" s="687">
        <f t="shared" si="73"/>
        <v>-1.4734000674839542E-2</v>
      </c>
      <c r="AZ248" s="687"/>
      <c r="BA248" s="687"/>
      <c r="BC248" s="688">
        <f t="shared" si="72"/>
        <v>0.12602739726027398</v>
      </c>
    </row>
    <row r="249" spans="2:55" x14ac:dyDescent="0.25">
      <c r="B249" s="662" t="s">
        <v>1117</v>
      </c>
      <c r="C249" s="662" t="s">
        <v>932</v>
      </c>
      <c r="D249" s="663"/>
      <c r="E249" s="664"/>
      <c r="F249" s="664"/>
      <c r="G249" s="664"/>
      <c r="H249" s="664"/>
      <c r="I249" s="664"/>
      <c r="J249" s="664"/>
      <c r="K249" s="664"/>
      <c r="L249" s="664"/>
      <c r="M249" s="664"/>
      <c r="N249" s="664"/>
      <c r="O249" s="664">
        <v>1</v>
      </c>
      <c r="P249" s="681"/>
      <c r="Q249" s="681">
        <f t="shared" si="68"/>
        <v>1</v>
      </c>
      <c r="R249" s="681"/>
      <c r="W249" s="683"/>
      <c r="X249" s="683">
        <f t="shared" si="83"/>
        <v>8.4931506849315067E-2</v>
      </c>
      <c r="Y249" s="683">
        <f t="shared" si="83"/>
        <v>8.4931506849315067E-2</v>
      </c>
      <c r="Z249" s="683">
        <f t="shared" si="83"/>
        <v>7.6712328767123292E-2</v>
      </c>
      <c r="AA249" s="683">
        <f t="shared" si="83"/>
        <v>8.4931506849315067E-2</v>
      </c>
      <c r="AB249" s="683">
        <f t="shared" si="83"/>
        <v>8.2191780821917804E-2</v>
      </c>
      <c r="AC249" s="683">
        <f t="shared" si="83"/>
        <v>8.4931506849315067E-2</v>
      </c>
      <c r="AD249" s="683">
        <f t="shared" si="83"/>
        <v>8.2191780821917804E-2</v>
      </c>
      <c r="AE249" s="684">
        <f t="shared" si="76"/>
        <v>0.58082191780821912</v>
      </c>
      <c r="AG249" s="710">
        <v>0</v>
      </c>
      <c r="AH249" s="710">
        <f t="shared" si="86"/>
        <v>0</v>
      </c>
      <c r="AI249" s="710">
        <f t="shared" si="86"/>
        <v>0</v>
      </c>
      <c r="AJ249" s="710">
        <f t="shared" si="86"/>
        <v>0</v>
      </c>
      <c r="AK249" s="710">
        <f t="shared" si="86"/>
        <v>0</v>
      </c>
      <c r="AL249" s="710">
        <f t="shared" si="86"/>
        <v>0</v>
      </c>
      <c r="AM249" s="710">
        <f t="shared" si="86"/>
        <v>0</v>
      </c>
      <c r="AN249" s="710">
        <f t="shared" si="86"/>
        <v>0</v>
      </c>
      <c r="AO249" s="710">
        <f t="shared" si="86"/>
        <v>0</v>
      </c>
      <c r="AP249" s="710">
        <f t="shared" si="86"/>
        <v>0</v>
      </c>
      <c r="AQ249" s="710">
        <f t="shared" si="86"/>
        <v>0</v>
      </c>
      <c r="AR249" s="710">
        <f t="shared" si="86"/>
        <v>0</v>
      </c>
      <c r="AS249" s="685">
        <f t="shared" si="84"/>
        <v>0</v>
      </c>
      <c r="AU249" s="686">
        <f t="shared" si="69"/>
        <v>1</v>
      </c>
      <c r="AV249" s="665">
        <f t="shared" si="74"/>
        <v>0.58082191780821912</v>
      </c>
      <c r="AW249" s="687">
        <f t="shared" si="70"/>
        <v>-0.41917808219178088</v>
      </c>
      <c r="AX249" s="663">
        <f t="shared" si="71"/>
        <v>0</v>
      </c>
      <c r="AY249" s="687">
        <f t="shared" si="73"/>
        <v>-1</v>
      </c>
      <c r="AZ249" s="687"/>
      <c r="BA249" s="687"/>
      <c r="BC249" s="688">
        <f t="shared" si="72"/>
        <v>2.7397260273972603E-3</v>
      </c>
    </row>
    <row r="250" spans="2:55" x14ac:dyDescent="0.25">
      <c r="C250" s="662" t="s">
        <v>939</v>
      </c>
      <c r="D250" s="663"/>
      <c r="G250" s="662">
        <v>4</v>
      </c>
      <c r="K250" s="662">
        <v>2</v>
      </c>
      <c r="M250" s="662">
        <v>4</v>
      </c>
      <c r="O250" s="662">
        <v>2</v>
      </c>
      <c r="P250" s="662">
        <v>1</v>
      </c>
      <c r="Q250" s="681">
        <f t="shared" si="68"/>
        <v>13</v>
      </c>
      <c r="R250" s="691"/>
      <c r="V250" s="662">
        <v>1</v>
      </c>
      <c r="W250" s="683"/>
      <c r="X250" s="683">
        <f t="shared" si="83"/>
        <v>0.84931506849315064</v>
      </c>
      <c r="Y250" s="683">
        <f t="shared" si="83"/>
        <v>0.84931506849315064</v>
      </c>
      <c r="Z250" s="683">
        <f t="shared" si="83"/>
        <v>0.76712328767123283</v>
      </c>
      <c r="AA250" s="683">
        <f t="shared" si="83"/>
        <v>0.84931506849315064</v>
      </c>
      <c r="AB250" s="683">
        <f t="shared" si="83"/>
        <v>0.82191780821917804</v>
      </c>
      <c r="AC250" s="683">
        <f t="shared" si="83"/>
        <v>0.84931506849315064</v>
      </c>
      <c r="AD250" s="683">
        <f t="shared" si="83"/>
        <v>0.82191780821917804</v>
      </c>
      <c r="AE250" s="684">
        <f t="shared" si="76"/>
        <v>6.808219178082191</v>
      </c>
      <c r="AG250" s="710">
        <v>1</v>
      </c>
      <c r="AH250" s="710">
        <v>1</v>
      </c>
      <c r="AI250" s="710">
        <v>1</v>
      </c>
      <c r="AJ250" s="710">
        <v>1</v>
      </c>
      <c r="AK250" s="710">
        <v>1</v>
      </c>
      <c r="AL250" s="710">
        <v>1</v>
      </c>
      <c r="AM250" s="710">
        <v>1</v>
      </c>
      <c r="AN250" s="710">
        <v>1</v>
      </c>
      <c r="AO250" s="710">
        <v>1</v>
      </c>
      <c r="AP250" s="710">
        <v>1</v>
      </c>
      <c r="AQ250" s="710">
        <v>1</v>
      </c>
      <c r="AR250" s="710">
        <v>1</v>
      </c>
      <c r="AS250" s="685">
        <f t="shared" si="84"/>
        <v>12</v>
      </c>
      <c r="AU250" s="686">
        <f t="shared" si="69"/>
        <v>13</v>
      </c>
      <c r="AV250" s="665">
        <f t="shared" si="74"/>
        <v>6.808219178082191</v>
      </c>
      <c r="AW250" s="687">
        <f t="shared" si="70"/>
        <v>-0.47629083245521608</v>
      </c>
      <c r="AX250" s="663">
        <f t="shared" si="71"/>
        <v>12</v>
      </c>
      <c r="AY250" s="687">
        <f t="shared" si="73"/>
        <v>0.76257545271629801</v>
      </c>
      <c r="AZ250" s="687"/>
      <c r="BA250" s="687"/>
      <c r="BC250" s="688">
        <f t="shared" si="72"/>
        <v>2.7397260273972601E-2</v>
      </c>
    </row>
    <row r="251" spans="2:55" x14ac:dyDescent="0.25">
      <c r="C251" s="662" t="s">
        <v>961</v>
      </c>
      <c r="D251" s="663"/>
      <c r="E251" s="662">
        <v>2</v>
      </c>
      <c r="F251" s="662">
        <v>3</v>
      </c>
      <c r="H251" s="662">
        <v>4</v>
      </c>
      <c r="I251" s="662">
        <v>4</v>
      </c>
      <c r="J251" s="662">
        <v>5</v>
      </c>
      <c r="L251" s="662">
        <v>4</v>
      </c>
      <c r="M251" s="662">
        <v>3</v>
      </c>
      <c r="N251" s="662">
        <v>3</v>
      </c>
      <c r="O251" s="662">
        <v>3</v>
      </c>
      <c r="P251" s="662">
        <v>3</v>
      </c>
      <c r="Q251" s="681">
        <f t="shared" si="68"/>
        <v>34</v>
      </c>
      <c r="R251" s="691"/>
      <c r="S251" s="662">
        <v>5</v>
      </c>
      <c r="T251" s="662">
        <v>3</v>
      </c>
      <c r="U251" s="662">
        <v>3</v>
      </c>
      <c r="W251" s="683">
        <v>4</v>
      </c>
      <c r="X251" s="683">
        <f t="shared" si="83"/>
        <v>3.0575342465753423</v>
      </c>
      <c r="Y251" s="683">
        <f t="shared" si="83"/>
        <v>3.0575342465753423</v>
      </c>
      <c r="Z251" s="683">
        <f t="shared" si="83"/>
        <v>2.7616438356164381</v>
      </c>
      <c r="AA251" s="683">
        <f t="shared" si="83"/>
        <v>3.0575342465753423</v>
      </c>
      <c r="AB251" s="683">
        <f t="shared" si="83"/>
        <v>2.9589041095890409</v>
      </c>
      <c r="AC251" s="683">
        <f t="shared" si="83"/>
        <v>3.0575342465753423</v>
      </c>
      <c r="AD251" s="683">
        <f t="shared" si="83"/>
        <v>2.9589041095890409</v>
      </c>
      <c r="AE251" s="684">
        <f t="shared" si="76"/>
        <v>35.909589041095899</v>
      </c>
      <c r="AG251" s="710">
        <v>3</v>
      </c>
      <c r="AH251" s="710">
        <v>3</v>
      </c>
      <c r="AI251" s="710">
        <v>3</v>
      </c>
      <c r="AJ251" s="710">
        <v>3</v>
      </c>
      <c r="AK251" s="710">
        <v>3</v>
      </c>
      <c r="AL251" s="710">
        <v>3</v>
      </c>
      <c r="AM251" s="710">
        <v>3</v>
      </c>
      <c r="AN251" s="710">
        <v>3</v>
      </c>
      <c r="AO251" s="710">
        <v>3</v>
      </c>
      <c r="AP251" s="710">
        <v>3</v>
      </c>
      <c r="AQ251" s="710">
        <v>3</v>
      </c>
      <c r="AR251" s="710">
        <v>3</v>
      </c>
      <c r="AS251" s="685">
        <f t="shared" si="84"/>
        <v>36</v>
      </c>
      <c r="AU251" s="686">
        <f t="shared" si="69"/>
        <v>34</v>
      </c>
      <c r="AV251" s="665">
        <f t="shared" si="74"/>
        <v>35.909589041095899</v>
      </c>
      <c r="AW251" s="687">
        <f t="shared" si="70"/>
        <v>5.6164383561644105E-2</v>
      </c>
      <c r="AX251" s="663">
        <f t="shared" si="71"/>
        <v>36</v>
      </c>
      <c r="AY251" s="687">
        <f t="shared" si="73"/>
        <v>2.5177386129546786E-3</v>
      </c>
      <c r="AZ251" s="687"/>
      <c r="BA251" s="687"/>
      <c r="BC251" s="688">
        <f t="shared" si="72"/>
        <v>9.8630136986301367E-2</v>
      </c>
    </row>
    <row r="252" spans="2:55" x14ac:dyDescent="0.25">
      <c r="B252" s="662" t="s">
        <v>1118</v>
      </c>
      <c r="C252" s="662" t="s">
        <v>939</v>
      </c>
      <c r="D252" s="663" t="s">
        <v>1119</v>
      </c>
      <c r="Q252" s="681">
        <f t="shared" si="68"/>
        <v>0</v>
      </c>
      <c r="R252" s="691"/>
      <c r="V252" s="662">
        <v>2</v>
      </c>
      <c r="W252" s="683">
        <v>3</v>
      </c>
      <c r="X252" s="683">
        <v>3</v>
      </c>
      <c r="Y252" s="683">
        <v>3</v>
      </c>
      <c r="Z252" s="683">
        <v>2</v>
      </c>
      <c r="AA252" s="683">
        <v>3</v>
      </c>
      <c r="AB252" s="683">
        <v>2</v>
      </c>
      <c r="AC252" s="683">
        <v>3</v>
      </c>
      <c r="AD252" s="683">
        <v>2</v>
      </c>
      <c r="AE252" s="684">
        <f t="shared" si="76"/>
        <v>23</v>
      </c>
      <c r="AG252" s="710">
        <v>2</v>
      </c>
      <c r="AH252" s="710">
        <v>2</v>
      </c>
      <c r="AI252" s="710">
        <v>2</v>
      </c>
      <c r="AJ252" s="710">
        <v>2</v>
      </c>
      <c r="AK252" s="710">
        <v>2</v>
      </c>
      <c r="AL252" s="710">
        <v>2</v>
      </c>
      <c r="AM252" s="710">
        <v>2</v>
      </c>
      <c r="AN252" s="710">
        <v>2</v>
      </c>
      <c r="AO252" s="710">
        <v>2</v>
      </c>
      <c r="AP252" s="710">
        <v>2</v>
      </c>
      <c r="AQ252" s="710">
        <v>2</v>
      </c>
      <c r="AR252" s="710">
        <v>2</v>
      </c>
      <c r="AS252" s="685">
        <f t="shared" si="84"/>
        <v>24</v>
      </c>
      <c r="AU252" s="686">
        <f t="shared" si="69"/>
        <v>0</v>
      </c>
      <c r="AV252" s="665">
        <f t="shared" si="74"/>
        <v>23</v>
      </c>
      <c r="AW252" s="687">
        <v>1</v>
      </c>
      <c r="AX252" s="663">
        <f t="shared" si="71"/>
        <v>24</v>
      </c>
      <c r="AY252" s="687">
        <f t="shared" si="73"/>
        <v>4.3478260869565188E-2</v>
      </c>
      <c r="AZ252" s="687"/>
      <c r="BA252" s="687"/>
      <c r="BC252" s="688">
        <f t="shared" si="72"/>
        <v>5.4794520547945206E-3</v>
      </c>
    </row>
    <row r="253" spans="2:55" x14ac:dyDescent="0.25">
      <c r="B253" s="662" t="s">
        <v>1120</v>
      </c>
      <c r="C253" s="662" t="s">
        <v>939</v>
      </c>
      <c r="D253" s="663" t="s">
        <v>1119</v>
      </c>
      <c r="Q253" s="681">
        <f t="shared" si="68"/>
        <v>0</v>
      </c>
      <c r="R253" s="691"/>
      <c r="V253" s="662">
        <v>1</v>
      </c>
      <c r="W253" s="683"/>
      <c r="X253" s="683">
        <v>0</v>
      </c>
      <c r="Y253" s="683">
        <v>0</v>
      </c>
      <c r="Z253" s="683">
        <v>0</v>
      </c>
      <c r="AA253" s="683">
        <v>0</v>
      </c>
      <c r="AB253" s="683">
        <v>0</v>
      </c>
      <c r="AC253" s="683">
        <v>0</v>
      </c>
      <c r="AD253" s="683">
        <v>0</v>
      </c>
      <c r="AE253" s="684">
        <f t="shared" si="76"/>
        <v>1</v>
      </c>
      <c r="AG253" s="710">
        <v>0</v>
      </c>
      <c r="AH253" s="710">
        <v>0</v>
      </c>
      <c r="AI253" s="710">
        <v>0</v>
      </c>
      <c r="AJ253" s="710">
        <v>0</v>
      </c>
      <c r="AK253" s="710">
        <v>0</v>
      </c>
      <c r="AL253" s="710">
        <v>0</v>
      </c>
      <c r="AM253" s="710">
        <v>0</v>
      </c>
      <c r="AN253" s="710">
        <v>0</v>
      </c>
      <c r="AO253" s="710">
        <v>0</v>
      </c>
      <c r="AP253" s="710">
        <v>0</v>
      </c>
      <c r="AQ253" s="710">
        <v>0</v>
      </c>
      <c r="AR253" s="710">
        <v>0</v>
      </c>
      <c r="AS253" s="685">
        <f t="shared" si="84"/>
        <v>0</v>
      </c>
      <c r="AU253" s="686">
        <f t="shared" si="69"/>
        <v>0</v>
      </c>
      <c r="AV253" s="665">
        <f t="shared" si="74"/>
        <v>1</v>
      </c>
      <c r="AW253" s="687">
        <v>1</v>
      </c>
      <c r="AX253" s="663">
        <f t="shared" si="71"/>
        <v>0</v>
      </c>
      <c r="AY253" s="687">
        <f t="shared" si="73"/>
        <v>-1</v>
      </c>
      <c r="AZ253" s="687"/>
      <c r="BA253" s="687"/>
      <c r="BC253" s="688">
        <f t="shared" si="72"/>
        <v>2.7397260273972603E-3</v>
      </c>
    </row>
    <row r="254" spans="2:55" x14ac:dyDescent="0.25">
      <c r="B254" s="662" t="s">
        <v>1121</v>
      </c>
      <c r="C254" s="662" t="s">
        <v>939</v>
      </c>
      <c r="D254" s="663"/>
      <c r="E254" s="662">
        <v>5</v>
      </c>
      <c r="F254" s="662">
        <v>3</v>
      </c>
      <c r="G254" s="662">
        <v>3</v>
      </c>
      <c r="H254" s="662">
        <v>1</v>
      </c>
      <c r="I254" s="662">
        <v>3</v>
      </c>
      <c r="J254" s="662">
        <v>1</v>
      </c>
      <c r="K254" s="662">
        <v>1</v>
      </c>
      <c r="L254" s="662">
        <v>1</v>
      </c>
      <c r="N254" s="662">
        <v>5</v>
      </c>
      <c r="O254" s="662">
        <v>4</v>
      </c>
      <c r="P254" s="662">
        <v>3</v>
      </c>
      <c r="Q254" s="681">
        <f t="shared" si="68"/>
        <v>30</v>
      </c>
      <c r="R254" s="691"/>
      <c r="S254" s="662">
        <v>2</v>
      </c>
      <c r="T254" s="662">
        <v>2</v>
      </c>
      <c r="U254" s="662">
        <v>4</v>
      </c>
      <c r="V254" s="662">
        <v>1</v>
      </c>
      <c r="W254" s="683">
        <v>5</v>
      </c>
      <c r="X254" s="683">
        <f t="shared" si="83"/>
        <v>2.2931506849315069</v>
      </c>
      <c r="Y254" s="683">
        <f t="shared" si="83"/>
        <v>2.2931506849315069</v>
      </c>
      <c r="Z254" s="683">
        <f t="shared" si="83"/>
        <v>2.0712328767123287</v>
      </c>
      <c r="AA254" s="683">
        <f t="shared" si="83"/>
        <v>2.2931506849315069</v>
      </c>
      <c r="AB254" s="683">
        <f t="shared" si="83"/>
        <v>2.2191780821917808</v>
      </c>
      <c r="AC254" s="683">
        <f t="shared" si="83"/>
        <v>2.2931506849315069</v>
      </c>
      <c r="AD254" s="683">
        <f t="shared" si="83"/>
        <v>2.2191780821917808</v>
      </c>
      <c r="AE254" s="684">
        <f t="shared" si="76"/>
        <v>29.682191780821924</v>
      </c>
      <c r="AG254" s="710">
        <v>3</v>
      </c>
      <c r="AH254" s="710">
        <v>2</v>
      </c>
      <c r="AI254" s="710">
        <v>3</v>
      </c>
      <c r="AJ254" s="710">
        <v>2</v>
      </c>
      <c r="AK254" s="710">
        <v>3</v>
      </c>
      <c r="AL254" s="710">
        <v>3</v>
      </c>
      <c r="AM254" s="710">
        <v>2</v>
      </c>
      <c r="AN254" s="710">
        <v>3</v>
      </c>
      <c r="AO254" s="710">
        <v>2</v>
      </c>
      <c r="AP254" s="710">
        <v>3</v>
      </c>
      <c r="AQ254" s="710">
        <v>2</v>
      </c>
      <c r="AR254" s="710">
        <v>3</v>
      </c>
      <c r="AS254" s="685">
        <f t="shared" si="84"/>
        <v>31</v>
      </c>
      <c r="AU254" s="686">
        <f t="shared" si="69"/>
        <v>30</v>
      </c>
      <c r="AV254" s="665">
        <f t="shared" si="74"/>
        <v>29.682191780821924</v>
      </c>
      <c r="AW254" s="687">
        <f t="shared" si="70"/>
        <v>-1.0593607305935837E-2</v>
      </c>
      <c r="AX254" s="663">
        <f t="shared" si="71"/>
        <v>31</v>
      </c>
      <c r="AY254" s="687">
        <f t="shared" si="73"/>
        <v>4.4397267860439182E-2</v>
      </c>
      <c r="AZ254" s="687"/>
      <c r="BA254" s="687"/>
      <c r="BC254" s="688">
        <f t="shared" si="72"/>
        <v>7.3972602739726029E-2</v>
      </c>
    </row>
    <row r="255" spans="2:55" x14ac:dyDescent="0.25">
      <c r="C255" s="662" t="s">
        <v>961</v>
      </c>
      <c r="D255" s="663"/>
      <c r="L255" s="662">
        <v>1</v>
      </c>
      <c r="N255" s="662">
        <v>5</v>
      </c>
      <c r="P255" s="691"/>
      <c r="Q255" s="681">
        <f t="shared" si="68"/>
        <v>6</v>
      </c>
      <c r="R255" s="691"/>
      <c r="W255" s="683">
        <v>3</v>
      </c>
      <c r="X255" s="683">
        <f t="shared" si="83"/>
        <v>0.50958904109589032</v>
      </c>
      <c r="Y255" s="683">
        <f t="shared" si="83"/>
        <v>0.50958904109589032</v>
      </c>
      <c r="Z255" s="683">
        <f t="shared" si="83"/>
        <v>0.46027397260273967</v>
      </c>
      <c r="AA255" s="683">
        <f t="shared" si="83"/>
        <v>0.50958904109589032</v>
      </c>
      <c r="AB255" s="683">
        <f t="shared" si="83"/>
        <v>0.49315068493150682</v>
      </c>
      <c r="AC255" s="683">
        <f t="shared" si="83"/>
        <v>0.50958904109589032</v>
      </c>
      <c r="AD255" s="683">
        <f t="shared" si="83"/>
        <v>0.49315068493150682</v>
      </c>
      <c r="AE255" s="684">
        <f t="shared" si="76"/>
        <v>6.484931506849315</v>
      </c>
      <c r="AG255" s="710">
        <v>1</v>
      </c>
      <c r="AH255" s="710">
        <v>1</v>
      </c>
      <c r="AI255" s="710">
        <v>1</v>
      </c>
      <c r="AJ255" s="710">
        <v>1</v>
      </c>
      <c r="AK255" s="710">
        <v>1</v>
      </c>
      <c r="AL255" s="710">
        <v>1</v>
      </c>
      <c r="AM255" s="710">
        <v>1</v>
      </c>
      <c r="AN255" s="710">
        <v>1</v>
      </c>
      <c r="AO255" s="710">
        <v>1</v>
      </c>
      <c r="AP255" s="710">
        <v>1</v>
      </c>
      <c r="AQ255" s="710">
        <v>1</v>
      </c>
      <c r="AR255" s="710">
        <v>1</v>
      </c>
      <c r="AS255" s="685">
        <f t="shared" si="84"/>
        <v>12</v>
      </c>
      <c r="AU255" s="686">
        <f t="shared" si="69"/>
        <v>6</v>
      </c>
      <c r="AV255" s="665">
        <f t="shared" si="74"/>
        <v>6.484931506849315</v>
      </c>
      <c r="AW255" s="687">
        <f t="shared" si="70"/>
        <v>8.0821917808219235E-2</v>
      </c>
      <c r="AX255" s="663">
        <f t="shared" si="71"/>
        <v>12</v>
      </c>
      <c r="AY255" s="687">
        <f t="shared" si="73"/>
        <v>0.85044359949302928</v>
      </c>
      <c r="AZ255" s="687"/>
      <c r="BA255" s="687"/>
      <c r="BC255" s="688">
        <f t="shared" si="72"/>
        <v>1.643835616438356E-2</v>
      </c>
    </row>
    <row r="256" spans="2:55" x14ac:dyDescent="0.25">
      <c r="B256" s="662" t="s">
        <v>1122</v>
      </c>
      <c r="C256" s="662" t="s">
        <v>939</v>
      </c>
      <c r="D256" s="663"/>
      <c r="E256" s="664">
        <v>1</v>
      </c>
      <c r="F256" s="664"/>
      <c r="G256" s="664"/>
      <c r="H256" s="664">
        <v>2</v>
      </c>
      <c r="I256" s="664">
        <v>1</v>
      </c>
      <c r="J256" s="664"/>
      <c r="K256" s="664"/>
      <c r="L256" s="664">
        <v>1</v>
      </c>
      <c r="M256" s="664">
        <v>2</v>
      </c>
      <c r="N256" s="664"/>
      <c r="O256" s="664">
        <v>3</v>
      </c>
      <c r="P256" s="681">
        <v>4</v>
      </c>
      <c r="Q256" s="681">
        <f t="shared" si="68"/>
        <v>14</v>
      </c>
      <c r="R256" s="691"/>
      <c r="T256" s="662">
        <v>1</v>
      </c>
      <c r="V256" s="662">
        <v>2</v>
      </c>
      <c r="W256" s="683">
        <v>1</v>
      </c>
      <c r="X256" s="683">
        <f t="shared" si="83"/>
        <v>1.189041095890411</v>
      </c>
      <c r="Y256" s="683">
        <f t="shared" si="83"/>
        <v>1.189041095890411</v>
      </c>
      <c r="Z256" s="683">
        <f t="shared" si="83"/>
        <v>1.0739726027397261</v>
      </c>
      <c r="AA256" s="683">
        <f t="shared" si="83"/>
        <v>1.189041095890411</v>
      </c>
      <c r="AB256" s="683">
        <f t="shared" si="83"/>
        <v>1.1506849315068495</v>
      </c>
      <c r="AC256" s="683">
        <f t="shared" si="83"/>
        <v>1.189041095890411</v>
      </c>
      <c r="AD256" s="683">
        <f t="shared" si="83"/>
        <v>1.1506849315068495</v>
      </c>
      <c r="AE256" s="684">
        <f t="shared" si="76"/>
        <v>12.13150684931507</v>
      </c>
      <c r="AG256" s="710">
        <v>1</v>
      </c>
      <c r="AH256" s="710">
        <v>1</v>
      </c>
      <c r="AI256" s="710">
        <v>1</v>
      </c>
      <c r="AJ256" s="710">
        <v>1</v>
      </c>
      <c r="AK256" s="710">
        <v>1</v>
      </c>
      <c r="AL256" s="710">
        <v>1</v>
      </c>
      <c r="AM256" s="710">
        <v>1</v>
      </c>
      <c r="AN256" s="710">
        <v>1</v>
      </c>
      <c r="AO256" s="710">
        <v>1</v>
      </c>
      <c r="AP256" s="710">
        <v>1</v>
      </c>
      <c r="AQ256" s="710">
        <v>1</v>
      </c>
      <c r="AR256" s="710">
        <v>1</v>
      </c>
      <c r="AS256" s="685">
        <f t="shared" si="84"/>
        <v>12</v>
      </c>
      <c r="AU256" s="686">
        <f t="shared" si="69"/>
        <v>14</v>
      </c>
      <c r="AV256" s="665">
        <f t="shared" si="74"/>
        <v>12.13150684931507</v>
      </c>
      <c r="AW256" s="687">
        <f t="shared" si="70"/>
        <v>-0.13346379647749507</v>
      </c>
      <c r="AX256" s="663">
        <f t="shared" si="71"/>
        <v>12</v>
      </c>
      <c r="AY256" s="687">
        <f t="shared" si="73"/>
        <v>-1.084010840108407E-2</v>
      </c>
      <c r="AZ256" s="687"/>
      <c r="BA256" s="687"/>
      <c r="BC256" s="688">
        <f t="shared" si="72"/>
        <v>3.8356164383561646E-2</v>
      </c>
    </row>
    <row r="257" spans="1:55" x14ac:dyDescent="0.25">
      <c r="C257" s="662" t="s">
        <v>961</v>
      </c>
      <c r="D257" s="663"/>
      <c r="E257" s="662">
        <v>2</v>
      </c>
      <c r="G257" s="662">
        <v>4</v>
      </c>
      <c r="H257" s="662">
        <v>6</v>
      </c>
      <c r="I257" s="662">
        <v>6</v>
      </c>
      <c r="J257" s="662">
        <v>1</v>
      </c>
      <c r="K257" s="662">
        <v>2</v>
      </c>
      <c r="L257" s="662">
        <v>4</v>
      </c>
      <c r="M257" s="662">
        <v>3</v>
      </c>
      <c r="N257" s="662">
        <v>6</v>
      </c>
      <c r="O257" s="662">
        <v>8</v>
      </c>
      <c r="Q257" s="681">
        <f t="shared" si="68"/>
        <v>42</v>
      </c>
      <c r="R257" s="691"/>
      <c r="T257" s="662">
        <v>3</v>
      </c>
      <c r="U257" s="662">
        <v>2</v>
      </c>
      <c r="V257" s="662">
        <v>4</v>
      </c>
      <c r="W257" s="683"/>
      <c r="X257" s="683">
        <f t="shared" si="83"/>
        <v>3.3123287671232879</v>
      </c>
      <c r="Y257" s="683">
        <f t="shared" si="83"/>
        <v>3.3123287671232879</v>
      </c>
      <c r="Z257" s="683">
        <f t="shared" si="83"/>
        <v>2.9917808219178084</v>
      </c>
      <c r="AA257" s="683">
        <f t="shared" si="83"/>
        <v>3.3123287671232879</v>
      </c>
      <c r="AB257" s="683">
        <f t="shared" si="83"/>
        <v>3.2054794520547949</v>
      </c>
      <c r="AC257" s="683">
        <f t="shared" si="83"/>
        <v>3.3123287671232879</v>
      </c>
      <c r="AD257" s="683">
        <f t="shared" si="83"/>
        <v>3.2054794520547949</v>
      </c>
      <c r="AE257" s="684">
        <f t="shared" si="76"/>
        <v>31.652054794520549</v>
      </c>
      <c r="AG257" s="710">
        <v>3</v>
      </c>
      <c r="AH257" s="710">
        <v>3</v>
      </c>
      <c r="AI257" s="710">
        <v>3</v>
      </c>
      <c r="AJ257" s="710">
        <v>3</v>
      </c>
      <c r="AK257" s="710">
        <v>3</v>
      </c>
      <c r="AL257" s="710">
        <v>3</v>
      </c>
      <c r="AM257" s="710">
        <v>3</v>
      </c>
      <c r="AN257" s="710">
        <v>3</v>
      </c>
      <c r="AO257" s="710">
        <v>3</v>
      </c>
      <c r="AP257" s="710">
        <v>3</v>
      </c>
      <c r="AQ257" s="710">
        <v>3</v>
      </c>
      <c r="AR257" s="710">
        <v>3</v>
      </c>
      <c r="AS257" s="685">
        <f t="shared" si="84"/>
        <v>36</v>
      </c>
      <c r="AU257" s="686">
        <f t="shared" si="69"/>
        <v>42</v>
      </c>
      <c r="AV257" s="665">
        <f t="shared" si="74"/>
        <v>31.652054794520549</v>
      </c>
      <c r="AW257" s="687">
        <f t="shared" si="70"/>
        <v>-0.24637964774951071</v>
      </c>
      <c r="AX257" s="663">
        <f t="shared" si="71"/>
        <v>36</v>
      </c>
      <c r="AY257" s="687">
        <f t="shared" si="73"/>
        <v>0.13736691768371845</v>
      </c>
      <c r="AZ257" s="687"/>
      <c r="BA257" s="687"/>
      <c r="BC257" s="688">
        <f t="shared" si="72"/>
        <v>0.10684931506849316</v>
      </c>
    </row>
    <row r="258" spans="1:55" x14ac:dyDescent="0.25">
      <c r="B258" s="662" t="s">
        <v>1123</v>
      </c>
      <c r="C258" s="662" t="s">
        <v>939</v>
      </c>
      <c r="D258" s="663"/>
      <c r="G258" s="662">
        <v>1</v>
      </c>
      <c r="N258" s="662">
        <v>1</v>
      </c>
      <c r="Q258" s="681">
        <f t="shared" si="68"/>
        <v>2</v>
      </c>
      <c r="R258" s="691"/>
      <c r="W258" s="683"/>
      <c r="X258" s="683">
        <v>0</v>
      </c>
      <c r="Y258" s="683">
        <v>0</v>
      </c>
      <c r="Z258" s="683">
        <v>0</v>
      </c>
      <c r="AA258" s="683">
        <v>0</v>
      </c>
      <c r="AB258" s="683">
        <v>0</v>
      </c>
      <c r="AC258" s="683">
        <v>0</v>
      </c>
      <c r="AD258" s="683">
        <v>0</v>
      </c>
      <c r="AE258" s="684">
        <f t="shared" si="76"/>
        <v>0</v>
      </c>
      <c r="AG258" s="710">
        <v>0</v>
      </c>
      <c r="AH258" s="710">
        <f t="shared" si="86"/>
        <v>0</v>
      </c>
      <c r="AI258" s="710">
        <f t="shared" si="86"/>
        <v>0</v>
      </c>
      <c r="AJ258" s="710">
        <f t="shared" si="86"/>
        <v>0</v>
      </c>
      <c r="AK258" s="710">
        <f t="shared" si="86"/>
        <v>0</v>
      </c>
      <c r="AL258" s="710">
        <f t="shared" si="86"/>
        <v>0</v>
      </c>
      <c r="AM258" s="710">
        <f t="shared" si="86"/>
        <v>0</v>
      </c>
      <c r="AN258" s="710">
        <f t="shared" si="86"/>
        <v>0</v>
      </c>
      <c r="AO258" s="710">
        <f t="shared" si="86"/>
        <v>0</v>
      </c>
      <c r="AP258" s="710">
        <f t="shared" si="86"/>
        <v>0</v>
      </c>
      <c r="AQ258" s="710">
        <f t="shared" si="86"/>
        <v>0</v>
      </c>
      <c r="AR258" s="710">
        <f t="shared" si="86"/>
        <v>0</v>
      </c>
      <c r="AS258" s="685">
        <f t="shared" si="84"/>
        <v>0</v>
      </c>
      <c r="AU258" s="686">
        <f t="shared" si="69"/>
        <v>2</v>
      </c>
      <c r="AV258" s="665">
        <f t="shared" si="74"/>
        <v>0</v>
      </c>
      <c r="AW258" s="687">
        <f t="shared" si="70"/>
        <v>-1</v>
      </c>
      <c r="AX258" s="663">
        <f t="shared" si="71"/>
        <v>0</v>
      </c>
      <c r="AY258" s="687" t="e">
        <f t="shared" si="73"/>
        <v>#DIV/0!</v>
      </c>
      <c r="AZ258" s="687"/>
      <c r="BA258" s="687"/>
      <c r="BC258" s="688">
        <f t="shared" si="72"/>
        <v>2.7397260273972603E-3</v>
      </c>
    </row>
    <row r="259" spans="1:55" x14ac:dyDescent="0.25">
      <c r="B259" s="662" t="s">
        <v>1124</v>
      </c>
      <c r="C259" s="662" t="s">
        <v>939</v>
      </c>
      <c r="D259" s="663"/>
      <c r="F259" s="662">
        <v>1</v>
      </c>
      <c r="G259" s="662">
        <v>2</v>
      </c>
      <c r="L259" s="662">
        <v>1</v>
      </c>
      <c r="M259" s="662">
        <v>2</v>
      </c>
      <c r="O259" s="662">
        <v>2</v>
      </c>
      <c r="P259" s="662">
        <v>1</v>
      </c>
      <c r="Q259" s="681">
        <f t="shared" si="68"/>
        <v>9</v>
      </c>
      <c r="R259" s="691"/>
      <c r="V259" s="662">
        <v>2</v>
      </c>
      <c r="W259" s="683"/>
      <c r="X259" s="683">
        <f t="shared" si="83"/>
        <v>0.67945205479452053</v>
      </c>
      <c r="Y259" s="683">
        <f t="shared" si="83"/>
        <v>0.67945205479452053</v>
      </c>
      <c r="Z259" s="683">
        <f t="shared" si="83"/>
        <v>0.61369863013698633</v>
      </c>
      <c r="AA259" s="683">
        <f t="shared" si="83"/>
        <v>0.67945205479452053</v>
      </c>
      <c r="AB259" s="683">
        <f t="shared" si="83"/>
        <v>0.65753424657534243</v>
      </c>
      <c r="AC259" s="683">
        <f t="shared" si="83"/>
        <v>0.67945205479452053</v>
      </c>
      <c r="AD259" s="683">
        <f t="shared" si="83"/>
        <v>0.65753424657534243</v>
      </c>
      <c r="AE259" s="684">
        <f t="shared" si="76"/>
        <v>6.646575342465753</v>
      </c>
      <c r="AG259" s="710">
        <v>1</v>
      </c>
      <c r="AH259" s="710">
        <v>1</v>
      </c>
      <c r="AI259" s="710">
        <v>1</v>
      </c>
      <c r="AJ259" s="710">
        <v>1</v>
      </c>
      <c r="AK259" s="710">
        <v>1</v>
      </c>
      <c r="AL259" s="710">
        <v>1</v>
      </c>
      <c r="AM259" s="710">
        <v>1</v>
      </c>
      <c r="AN259" s="710">
        <v>1</v>
      </c>
      <c r="AO259" s="710">
        <v>1</v>
      </c>
      <c r="AP259" s="710">
        <v>1</v>
      </c>
      <c r="AQ259" s="710">
        <v>1</v>
      </c>
      <c r="AR259" s="710">
        <v>1</v>
      </c>
      <c r="AS259" s="685">
        <f t="shared" si="84"/>
        <v>12</v>
      </c>
      <c r="AU259" s="686">
        <f t="shared" si="69"/>
        <v>9</v>
      </c>
      <c r="AV259" s="665">
        <f t="shared" si="74"/>
        <v>6.646575342465753</v>
      </c>
      <c r="AW259" s="687">
        <f t="shared" si="70"/>
        <v>-0.26149162861491637</v>
      </c>
      <c r="AX259" s="663">
        <f t="shared" si="71"/>
        <v>12</v>
      </c>
      <c r="AY259" s="687">
        <f t="shared" si="73"/>
        <v>0.80544105523495468</v>
      </c>
      <c r="AZ259" s="687"/>
      <c r="BA259" s="687"/>
      <c r="BC259" s="688">
        <f t="shared" si="72"/>
        <v>2.1917808219178082E-2</v>
      </c>
    </row>
    <row r="260" spans="1:55" x14ac:dyDescent="0.25">
      <c r="C260" s="662" t="s">
        <v>961</v>
      </c>
      <c r="D260" s="663"/>
      <c r="O260" s="662">
        <v>1</v>
      </c>
      <c r="Q260" s="681">
        <f t="shared" si="68"/>
        <v>1</v>
      </c>
      <c r="R260" s="691"/>
      <c r="T260" s="662">
        <v>2</v>
      </c>
      <c r="W260" s="683"/>
      <c r="X260" s="683">
        <v>0</v>
      </c>
      <c r="Y260" s="683">
        <v>0</v>
      </c>
      <c r="Z260" s="683">
        <v>0</v>
      </c>
      <c r="AA260" s="683">
        <v>0</v>
      </c>
      <c r="AB260" s="683">
        <v>0</v>
      </c>
      <c r="AC260" s="683">
        <v>0</v>
      </c>
      <c r="AD260" s="683">
        <v>0</v>
      </c>
      <c r="AE260" s="684">
        <f t="shared" si="76"/>
        <v>2</v>
      </c>
      <c r="AG260" s="710">
        <v>0</v>
      </c>
      <c r="AH260" s="710">
        <f t="shared" si="86"/>
        <v>0</v>
      </c>
      <c r="AI260" s="710">
        <f t="shared" si="86"/>
        <v>0</v>
      </c>
      <c r="AJ260" s="710">
        <f t="shared" si="86"/>
        <v>0</v>
      </c>
      <c r="AK260" s="710">
        <f t="shared" si="86"/>
        <v>0</v>
      </c>
      <c r="AL260" s="710">
        <f t="shared" si="86"/>
        <v>0</v>
      </c>
      <c r="AM260" s="710">
        <f t="shared" si="86"/>
        <v>0</v>
      </c>
      <c r="AN260" s="710">
        <f t="shared" si="86"/>
        <v>0</v>
      </c>
      <c r="AO260" s="710">
        <f t="shared" si="86"/>
        <v>0</v>
      </c>
      <c r="AP260" s="710">
        <f t="shared" si="86"/>
        <v>0</v>
      </c>
      <c r="AQ260" s="710">
        <f t="shared" si="86"/>
        <v>0</v>
      </c>
      <c r="AR260" s="710">
        <f t="shared" si="86"/>
        <v>0</v>
      </c>
      <c r="AS260" s="685">
        <f t="shared" si="84"/>
        <v>0</v>
      </c>
      <c r="AU260" s="686">
        <f t="shared" si="69"/>
        <v>1</v>
      </c>
      <c r="AV260" s="665">
        <f t="shared" si="74"/>
        <v>2</v>
      </c>
      <c r="AW260" s="687">
        <f t="shared" si="70"/>
        <v>1</v>
      </c>
      <c r="AX260" s="663">
        <f t="shared" si="71"/>
        <v>0</v>
      </c>
      <c r="AY260" s="687">
        <f t="shared" si="73"/>
        <v>-1</v>
      </c>
      <c r="AZ260" s="687"/>
      <c r="BA260" s="687"/>
      <c r="BC260" s="688">
        <f t="shared" si="72"/>
        <v>8.21917808219178E-3</v>
      </c>
    </row>
    <row r="261" spans="1:55" x14ac:dyDescent="0.25">
      <c r="B261" s="662" t="s">
        <v>1125</v>
      </c>
      <c r="C261" s="662" t="s">
        <v>939</v>
      </c>
      <c r="D261" s="663" t="s">
        <v>1126</v>
      </c>
      <c r="Q261" s="681">
        <f t="shared" si="68"/>
        <v>0</v>
      </c>
      <c r="R261" s="691"/>
      <c r="V261" s="662">
        <v>2</v>
      </c>
      <c r="W261" s="683">
        <v>2</v>
      </c>
      <c r="X261" s="683">
        <v>1</v>
      </c>
      <c r="Y261" s="683">
        <v>1</v>
      </c>
      <c r="Z261" s="683">
        <v>1</v>
      </c>
      <c r="AA261" s="683">
        <v>1</v>
      </c>
      <c r="AB261" s="683">
        <v>1</v>
      </c>
      <c r="AC261" s="683">
        <v>1</v>
      </c>
      <c r="AD261" s="683">
        <v>1</v>
      </c>
      <c r="AE261" s="684">
        <f t="shared" si="76"/>
        <v>11</v>
      </c>
      <c r="AG261" s="710">
        <v>1</v>
      </c>
      <c r="AH261" s="710">
        <v>1</v>
      </c>
      <c r="AI261" s="710">
        <v>1</v>
      </c>
      <c r="AJ261" s="710">
        <v>1</v>
      </c>
      <c r="AK261" s="710">
        <v>1</v>
      </c>
      <c r="AL261" s="710">
        <v>1</v>
      </c>
      <c r="AM261" s="710">
        <v>1</v>
      </c>
      <c r="AN261" s="710">
        <v>1</v>
      </c>
      <c r="AO261" s="710">
        <v>1</v>
      </c>
      <c r="AP261" s="710">
        <v>1</v>
      </c>
      <c r="AQ261" s="710">
        <v>1</v>
      </c>
      <c r="AR261" s="710">
        <v>1</v>
      </c>
      <c r="AS261" s="685">
        <f t="shared" si="84"/>
        <v>12</v>
      </c>
      <c r="AU261" s="686">
        <f t="shared" si="69"/>
        <v>0</v>
      </c>
      <c r="AV261" s="665">
        <f t="shared" si="74"/>
        <v>11</v>
      </c>
      <c r="AW261" s="687">
        <v>1</v>
      </c>
      <c r="AX261" s="663">
        <f t="shared" si="71"/>
        <v>12</v>
      </c>
      <c r="AY261" s="687">
        <f t="shared" si="73"/>
        <v>9.0909090909090828E-2</v>
      </c>
      <c r="AZ261" s="687"/>
      <c r="BA261" s="687"/>
      <c r="BC261" s="688">
        <f t="shared" si="72"/>
        <v>5.4794520547945206E-3</v>
      </c>
    </row>
    <row r="262" spans="1:55" x14ac:dyDescent="0.25">
      <c r="B262" s="662" t="s">
        <v>1127</v>
      </c>
      <c r="C262" s="662" t="s">
        <v>939</v>
      </c>
      <c r="D262" s="663"/>
      <c r="G262" s="662">
        <v>1</v>
      </c>
      <c r="H262" s="662">
        <v>1</v>
      </c>
      <c r="I262" s="662">
        <v>1</v>
      </c>
      <c r="K262" s="662">
        <v>3</v>
      </c>
      <c r="L262" s="662">
        <v>4</v>
      </c>
      <c r="M262" s="662">
        <v>1</v>
      </c>
      <c r="N262" s="662">
        <v>2</v>
      </c>
      <c r="O262" s="662">
        <v>5</v>
      </c>
      <c r="P262" s="691">
        <v>2</v>
      </c>
      <c r="Q262" s="681">
        <f t="shared" si="68"/>
        <v>20</v>
      </c>
      <c r="R262" s="691"/>
      <c r="S262" s="662">
        <v>1</v>
      </c>
      <c r="T262" s="662">
        <v>6</v>
      </c>
      <c r="U262" s="662">
        <v>4</v>
      </c>
      <c r="V262" s="662">
        <v>1</v>
      </c>
      <c r="W262" s="683">
        <v>1</v>
      </c>
      <c r="X262" s="683">
        <v>1</v>
      </c>
      <c r="Y262" s="683">
        <f t="shared" si="83"/>
        <v>2.547945205479452</v>
      </c>
      <c r="Z262" s="683">
        <f t="shared" si="83"/>
        <v>2.3013698630136985</v>
      </c>
      <c r="AA262" s="683">
        <f t="shared" si="83"/>
        <v>2.547945205479452</v>
      </c>
      <c r="AB262" s="683">
        <f t="shared" si="83"/>
        <v>2.4657534246575343</v>
      </c>
      <c r="AC262" s="683">
        <f t="shared" si="83"/>
        <v>2.547945205479452</v>
      </c>
      <c r="AD262" s="683">
        <f t="shared" si="83"/>
        <v>2.4657534246575343</v>
      </c>
      <c r="AE262" s="684">
        <f t="shared" si="76"/>
        <v>28.87671232876712</v>
      </c>
      <c r="AG262" s="710">
        <v>3</v>
      </c>
      <c r="AH262" s="710">
        <v>3</v>
      </c>
      <c r="AI262" s="710">
        <v>3</v>
      </c>
      <c r="AJ262" s="710">
        <v>3</v>
      </c>
      <c r="AK262" s="710">
        <v>3</v>
      </c>
      <c r="AL262" s="710">
        <v>2</v>
      </c>
      <c r="AM262" s="710">
        <v>3</v>
      </c>
      <c r="AN262" s="710">
        <v>3</v>
      </c>
      <c r="AO262" s="710">
        <v>3</v>
      </c>
      <c r="AP262" s="710">
        <v>3</v>
      </c>
      <c r="AQ262" s="710">
        <v>3</v>
      </c>
      <c r="AR262" s="710">
        <v>3</v>
      </c>
      <c r="AS262" s="685">
        <f t="shared" si="84"/>
        <v>35</v>
      </c>
      <c r="AU262" s="686">
        <f t="shared" si="69"/>
        <v>20</v>
      </c>
      <c r="AV262" s="665">
        <f t="shared" si="74"/>
        <v>28.87671232876712</v>
      </c>
      <c r="AW262" s="687">
        <f t="shared" si="70"/>
        <v>0.4438356164383559</v>
      </c>
      <c r="AX262" s="663">
        <f t="shared" si="71"/>
        <v>35</v>
      </c>
      <c r="AY262" s="687">
        <f t="shared" si="73"/>
        <v>0.21204933586337771</v>
      </c>
      <c r="AZ262" s="687"/>
      <c r="BA262" s="687"/>
      <c r="BC262" s="688">
        <f t="shared" si="72"/>
        <v>8.2191780821917804E-2</v>
      </c>
    </row>
    <row r="263" spans="1:55" x14ac:dyDescent="0.25">
      <c r="A263" s="662"/>
      <c r="C263" s="662" t="s">
        <v>961</v>
      </c>
      <c r="D263" s="663"/>
      <c r="G263" s="662">
        <v>1</v>
      </c>
      <c r="Q263" s="662">
        <f t="shared" si="68"/>
        <v>1</v>
      </c>
      <c r="V263" s="662">
        <v>1</v>
      </c>
      <c r="W263" s="683">
        <v>0</v>
      </c>
      <c r="X263" s="683">
        <v>0</v>
      </c>
      <c r="Y263" s="683">
        <v>0</v>
      </c>
      <c r="Z263" s="683">
        <v>0</v>
      </c>
      <c r="AA263" s="683">
        <v>0</v>
      </c>
      <c r="AB263" s="683">
        <v>0</v>
      </c>
      <c r="AC263" s="683">
        <v>0</v>
      </c>
      <c r="AD263" s="683">
        <v>0</v>
      </c>
      <c r="AE263" s="684">
        <f t="shared" si="76"/>
        <v>1</v>
      </c>
      <c r="AG263" s="710">
        <v>1</v>
      </c>
      <c r="AH263" s="710">
        <v>1</v>
      </c>
      <c r="AI263" s="710">
        <v>1</v>
      </c>
      <c r="AJ263" s="710">
        <v>1</v>
      </c>
      <c r="AK263" s="710">
        <v>1</v>
      </c>
      <c r="AL263" s="710">
        <v>1</v>
      </c>
      <c r="AM263" s="710">
        <v>1</v>
      </c>
      <c r="AN263" s="710">
        <v>1</v>
      </c>
      <c r="AO263" s="710">
        <v>1</v>
      </c>
      <c r="AP263" s="710">
        <v>1</v>
      </c>
      <c r="AQ263" s="710">
        <v>1</v>
      </c>
      <c r="AR263" s="710">
        <v>1</v>
      </c>
      <c r="AS263" s="685">
        <f t="shared" si="84"/>
        <v>12</v>
      </c>
      <c r="AU263" s="686">
        <f t="shared" si="69"/>
        <v>1</v>
      </c>
      <c r="AV263" s="665">
        <f t="shared" si="74"/>
        <v>1</v>
      </c>
      <c r="AW263" s="687">
        <f t="shared" si="70"/>
        <v>0</v>
      </c>
      <c r="AX263" s="663">
        <f t="shared" si="71"/>
        <v>12</v>
      </c>
      <c r="AY263" s="687">
        <f t="shared" si="73"/>
        <v>11</v>
      </c>
      <c r="BC263" s="688">
        <f t="shared" si="72"/>
        <v>2.7397260273972603E-3</v>
      </c>
    </row>
    <row r="264" spans="1:55" x14ac:dyDescent="0.25">
      <c r="B264" s="662" t="s">
        <v>1128</v>
      </c>
      <c r="C264" s="662" t="s">
        <v>932</v>
      </c>
      <c r="D264" s="663"/>
      <c r="G264" s="662">
        <v>1</v>
      </c>
      <c r="Q264" s="681">
        <f t="shared" ref="Q264:Q327" si="87">SUM(E264:P264)</f>
        <v>1</v>
      </c>
      <c r="R264" s="711"/>
      <c r="W264" s="683"/>
      <c r="X264" s="683">
        <f t="shared" si="83"/>
        <v>0</v>
      </c>
      <c r="Y264" s="683">
        <f t="shared" si="83"/>
        <v>0</v>
      </c>
      <c r="Z264" s="683">
        <f t="shared" si="83"/>
        <v>0</v>
      </c>
      <c r="AA264" s="683">
        <f t="shared" si="83"/>
        <v>0</v>
      </c>
      <c r="AB264" s="683">
        <f t="shared" si="83"/>
        <v>0</v>
      </c>
      <c r="AC264" s="683">
        <f t="shared" si="83"/>
        <v>0</v>
      </c>
      <c r="AD264" s="683">
        <f t="shared" si="83"/>
        <v>0</v>
      </c>
      <c r="AE264" s="684">
        <f t="shared" si="76"/>
        <v>0</v>
      </c>
      <c r="AG264" s="710">
        <v>0</v>
      </c>
      <c r="AH264" s="710">
        <f t="shared" si="86"/>
        <v>0</v>
      </c>
      <c r="AI264" s="710">
        <f t="shared" si="86"/>
        <v>0</v>
      </c>
      <c r="AJ264" s="710">
        <f t="shared" si="86"/>
        <v>0</v>
      </c>
      <c r="AK264" s="710">
        <f t="shared" si="86"/>
        <v>0</v>
      </c>
      <c r="AL264" s="710">
        <f t="shared" si="86"/>
        <v>0</v>
      </c>
      <c r="AM264" s="710">
        <f t="shared" si="86"/>
        <v>0</v>
      </c>
      <c r="AN264" s="710">
        <f t="shared" si="86"/>
        <v>0</v>
      </c>
      <c r="AO264" s="710">
        <f t="shared" si="86"/>
        <v>0</v>
      </c>
      <c r="AP264" s="710">
        <f t="shared" si="86"/>
        <v>0</v>
      </c>
      <c r="AQ264" s="710">
        <f t="shared" si="86"/>
        <v>0</v>
      </c>
      <c r="AR264" s="710">
        <f t="shared" si="86"/>
        <v>0</v>
      </c>
      <c r="AS264" s="685">
        <f t="shared" si="84"/>
        <v>0</v>
      </c>
      <c r="AU264" s="686">
        <f t="shared" ref="AU264:AU327" si="88">Q264</f>
        <v>1</v>
      </c>
      <c r="AV264" s="665">
        <f t="shared" si="74"/>
        <v>0</v>
      </c>
      <c r="AW264" s="687">
        <f t="shared" ref="AW264:AW327" si="89">(AV264/AU264)-1</f>
        <v>-1</v>
      </c>
      <c r="AX264" s="663">
        <f t="shared" ref="AX264:AX327" si="90">AS264</f>
        <v>0</v>
      </c>
      <c r="AY264" s="663">
        <v>0</v>
      </c>
      <c r="BC264" s="688">
        <f t="shared" ref="BC264:BC327" si="91">(I264+J264+K264+L264+M264+N264+O264+P264+S264+T264+U264+V264)/365</f>
        <v>0</v>
      </c>
    </row>
    <row r="265" spans="1:55" x14ac:dyDescent="0.25">
      <c r="C265" s="662" t="s">
        <v>939</v>
      </c>
      <c r="D265" s="663"/>
      <c r="E265" s="662">
        <v>4</v>
      </c>
      <c r="F265" s="662">
        <v>1</v>
      </c>
      <c r="G265" s="662">
        <v>2</v>
      </c>
      <c r="H265" s="662">
        <v>2</v>
      </c>
      <c r="I265" s="662">
        <v>2</v>
      </c>
      <c r="J265" s="662">
        <v>5</v>
      </c>
      <c r="K265" s="662">
        <v>5</v>
      </c>
      <c r="L265" s="662">
        <v>2</v>
      </c>
      <c r="M265" s="662">
        <v>5</v>
      </c>
      <c r="N265" s="662">
        <v>1</v>
      </c>
      <c r="O265" s="662">
        <v>4</v>
      </c>
      <c r="P265" s="691">
        <v>1</v>
      </c>
      <c r="Q265" s="681">
        <f t="shared" si="87"/>
        <v>34</v>
      </c>
      <c r="R265" s="712"/>
      <c r="S265" s="662">
        <v>2</v>
      </c>
      <c r="T265" s="662">
        <v>6</v>
      </c>
      <c r="U265" s="662">
        <v>3</v>
      </c>
      <c r="V265" s="662">
        <v>5</v>
      </c>
      <c r="W265" s="683">
        <v>2</v>
      </c>
      <c r="X265" s="683">
        <v>5</v>
      </c>
      <c r="Y265" s="683">
        <v>5</v>
      </c>
      <c r="Z265" s="683">
        <v>2</v>
      </c>
      <c r="AA265" s="683">
        <v>5</v>
      </c>
      <c r="AB265" s="683">
        <v>1</v>
      </c>
      <c r="AC265" s="683">
        <v>4</v>
      </c>
      <c r="AD265" s="683">
        <v>1</v>
      </c>
      <c r="AE265" s="684">
        <f t="shared" si="76"/>
        <v>41</v>
      </c>
      <c r="AG265" s="710">
        <v>3</v>
      </c>
      <c r="AH265" s="710">
        <v>3</v>
      </c>
      <c r="AI265" s="710">
        <v>3</v>
      </c>
      <c r="AJ265" s="710">
        <v>3</v>
      </c>
      <c r="AK265" s="710">
        <v>3</v>
      </c>
      <c r="AL265" s="710">
        <v>3</v>
      </c>
      <c r="AM265" s="710">
        <v>3</v>
      </c>
      <c r="AN265" s="710">
        <v>3</v>
      </c>
      <c r="AO265" s="710">
        <v>3</v>
      </c>
      <c r="AP265" s="710">
        <v>3</v>
      </c>
      <c r="AQ265" s="710">
        <v>3</v>
      </c>
      <c r="AR265" s="710">
        <v>3</v>
      </c>
      <c r="AS265" s="685">
        <f t="shared" si="84"/>
        <v>36</v>
      </c>
      <c r="AU265" s="686">
        <f t="shared" si="88"/>
        <v>34</v>
      </c>
      <c r="AV265" s="665">
        <f t="shared" si="74"/>
        <v>41</v>
      </c>
      <c r="AW265" s="687">
        <f t="shared" si="89"/>
        <v>0.20588235294117641</v>
      </c>
      <c r="AX265" s="663">
        <f t="shared" si="90"/>
        <v>36</v>
      </c>
      <c r="AY265" s="687">
        <f t="shared" ref="AY265:AY326" si="92">(AX265/AV265)-1</f>
        <v>-0.12195121951219512</v>
      </c>
      <c r="BC265" s="688">
        <f t="shared" si="91"/>
        <v>0.11232876712328767</v>
      </c>
    </row>
    <row r="266" spans="1:55" x14ac:dyDescent="0.25">
      <c r="B266" s="662" t="s">
        <v>1129</v>
      </c>
      <c r="C266" s="662" t="s">
        <v>932</v>
      </c>
      <c r="D266" s="663"/>
      <c r="J266" s="662">
        <v>1</v>
      </c>
      <c r="Q266" s="681">
        <f t="shared" si="87"/>
        <v>1</v>
      </c>
      <c r="R266" s="711"/>
      <c r="W266" s="683"/>
      <c r="X266" s="683">
        <v>0</v>
      </c>
      <c r="Y266" s="683">
        <v>0</v>
      </c>
      <c r="Z266" s="683">
        <v>0</v>
      </c>
      <c r="AA266" s="683">
        <v>0</v>
      </c>
      <c r="AB266" s="683">
        <v>0</v>
      </c>
      <c r="AC266" s="683">
        <v>0</v>
      </c>
      <c r="AD266" s="683">
        <v>0</v>
      </c>
      <c r="AE266" s="684">
        <f t="shared" si="76"/>
        <v>0</v>
      </c>
      <c r="AG266" s="710">
        <v>0</v>
      </c>
      <c r="AH266" s="710">
        <f t="shared" si="86"/>
        <v>0</v>
      </c>
      <c r="AI266" s="710">
        <f t="shared" si="86"/>
        <v>0</v>
      </c>
      <c r="AJ266" s="710">
        <f t="shared" si="86"/>
        <v>0</v>
      </c>
      <c r="AK266" s="710">
        <f t="shared" si="86"/>
        <v>0</v>
      </c>
      <c r="AL266" s="710">
        <f t="shared" si="86"/>
        <v>0</v>
      </c>
      <c r="AM266" s="710">
        <f t="shared" si="86"/>
        <v>0</v>
      </c>
      <c r="AN266" s="710">
        <f t="shared" si="86"/>
        <v>0</v>
      </c>
      <c r="AO266" s="710">
        <f t="shared" si="86"/>
        <v>0</v>
      </c>
      <c r="AP266" s="710">
        <f t="shared" si="86"/>
        <v>0</v>
      </c>
      <c r="AQ266" s="710">
        <f t="shared" si="86"/>
        <v>0</v>
      </c>
      <c r="AR266" s="710">
        <f t="shared" si="86"/>
        <v>0</v>
      </c>
      <c r="AS266" s="685">
        <f t="shared" si="84"/>
        <v>0</v>
      </c>
      <c r="AU266" s="686">
        <f t="shared" si="88"/>
        <v>1</v>
      </c>
      <c r="AV266" s="665">
        <f t="shared" ref="AV266:AV329" si="93">AE266</f>
        <v>0</v>
      </c>
      <c r="AW266" s="687">
        <f t="shared" si="89"/>
        <v>-1</v>
      </c>
      <c r="AX266" s="663">
        <f t="shared" si="90"/>
        <v>0</v>
      </c>
      <c r="AY266" s="687">
        <v>0</v>
      </c>
      <c r="BC266" s="688">
        <f t="shared" si="91"/>
        <v>2.7397260273972603E-3</v>
      </c>
    </row>
    <row r="267" spans="1:55" x14ac:dyDescent="0.25">
      <c r="C267" s="662" t="s">
        <v>939</v>
      </c>
      <c r="D267" s="663"/>
      <c r="E267" s="662">
        <v>10</v>
      </c>
      <c r="F267" s="662">
        <v>11</v>
      </c>
      <c r="G267" s="662">
        <v>4</v>
      </c>
      <c r="H267" s="662">
        <v>7</v>
      </c>
      <c r="I267" s="662">
        <v>5</v>
      </c>
      <c r="J267" s="662">
        <v>7</v>
      </c>
      <c r="K267" s="662">
        <v>5</v>
      </c>
      <c r="L267" s="662">
        <v>8</v>
      </c>
      <c r="M267" s="662">
        <v>3</v>
      </c>
      <c r="N267" s="662">
        <v>5</v>
      </c>
      <c r="O267" s="662">
        <v>10</v>
      </c>
      <c r="P267" s="662">
        <v>11</v>
      </c>
      <c r="Q267" s="681">
        <f t="shared" si="87"/>
        <v>86</v>
      </c>
      <c r="R267" s="711"/>
      <c r="S267" s="662">
        <v>4</v>
      </c>
      <c r="T267" s="662">
        <v>4</v>
      </c>
      <c r="U267" s="662">
        <v>7</v>
      </c>
      <c r="V267" s="662">
        <v>5</v>
      </c>
      <c r="W267" s="683">
        <v>5</v>
      </c>
      <c r="X267" s="683">
        <v>7</v>
      </c>
      <c r="Y267" s="683">
        <v>5</v>
      </c>
      <c r="Z267" s="683">
        <v>8</v>
      </c>
      <c r="AA267" s="683">
        <v>3</v>
      </c>
      <c r="AB267" s="683">
        <v>5</v>
      </c>
      <c r="AC267" s="683">
        <v>10</v>
      </c>
      <c r="AD267" s="683">
        <v>11</v>
      </c>
      <c r="AE267" s="684">
        <f t="shared" si="76"/>
        <v>74</v>
      </c>
      <c r="AG267" s="710">
        <v>6</v>
      </c>
      <c r="AH267" s="710">
        <v>6</v>
      </c>
      <c r="AI267" s="710">
        <v>6</v>
      </c>
      <c r="AJ267" s="710">
        <v>6</v>
      </c>
      <c r="AK267" s="710">
        <v>6</v>
      </c>
      <c r="AL267" s="710">
        <v>6</v>
      </c>
      <c r="AM267" s="710">
        <v>6</v>
      </c>
      <c r="AN267" s="710">
        <v>6</v>
      </c>
      <c r="AO267" s="710">
        <v>6</v>
      </c>
      <c r="AP267" s="710">
        <v>6</v>
      </c>
      <c r="AQ267" s="710">
        <v>6</v>
      </c>
      <c r="AR267" s="710">
        <v>6</v>
      </c>
      <c r="AS267" s="685">
        <f t="shared" si="84"/>
        <v>72</v>
      </c>
      <c r="AU267" s="686">
        <f t="shared" si="88"/>
        <v>86</v>
      </c>
      <c r="AV267" s="665">
        <f t="shared" si="93"/>
        <v>74</v>
      </c>
      <c r="AW267" s="687">
        <f t="shared" si="89"/>
        <v>-0.13953488372093026</v>
      </c>
      <c r="AX267" s="663">
        <f t="shared" si="90"/>
        <v>72</v>
      </c>
      <c r="AY267" s="687">
        <f t="shared" si="92"/>
        <v>-2.7027027027026973E-2</v>
      </c>
      <c r="BC267" s="688">
        <f t="shared" si="91"/>
        <v>0.20273972602739726</v>
      </c>
    </row>
    <row r="268" spans="1:55" x14ac:dyDescent="0.25">
      <c r="C268" s="662" t="s">
        <v>961</v>
      </c>
      <c r="D268" s="663"/>
      <c r="E268" s="662">
        <v>3</v>
      </c>
      <c r="Q268" s="681">
        <f t="shared" si="87"/>
        <v>3</v>
      </c>
      <c r="R268" s="711"/>
      <c r="T268" s="662">
        <v>1</v>
      </c>
      <c r="W268" s="683"/>
      <c r="X268" s="683">
        <f t="shared" si="83"/>
        <v>8.4931506849315067E-2</v>
      </c>
      <c r="Y268" s="683">
        <f t="shared" si="83"/>
        <v>8.4931506849315067E-2</v>
      </c>
      <c r="Z268" s="683">
        <f t="shared" si="83"/>
        <v>7.6712328767123292E-2</v>
      </c>
      <c r="AA268" s="683">
        <f t="shared" si="83"/>
        <v>8.4931506849315067E-2</v>
      </c>
      <c r="AB268" s="683">
        <f t="shared" si="83"/>
        <v>8.2191780821917804E-2</v>
      </c>
      <c r="AC268" s="683">
        <f t="shared" si="83"/>
        <v>8.4931506849315067E-2</v>
      </c>
      <c r="AD268" s="683">
        <f t="shared" si="83"/>
        <v>8.2191780821917804E-2</v>
      </c>
      <c r="AE268" s="684">
        <f t="shared" si="76"/>
        <v>1.580821917808219</v>
      </c>
      <c r="AG268" s="710">
        <v>0</v>
      </c>
      <c r="AH268" s="710">
        <f t="shared" ref="AH268:AR268" si="94">ROUND($AE268/365*AH$1,0)</f>
        <v>0</v>
      </c>
      <c r="AI268" s="710">
        <f t="shared" si="94"/>
        <v>0</v>
      </c>
      <c r="AJ268" s="710">
        <f t="shared" si="94"/>
        <v>0</v>
      </c>
      <c r="AK268" s="710">
        <f t="shared" si="94"/>
        <v>0</v>
      </c>
      <c r="AL268" s="710">
        <f t="shared" si="94"/>
        <v>0</v>
      </c>
      <c r="AM268" s="710">
        <f t="shared" si="94"/>
        <v>0</v>
      </c>
      <c r="AN268" s="710">
        <f t="shared" si="94"/>
        <v>0</v>
      </c>
      <c r="AO268" s="710">
        <f t="shared" si="94"/>
        <v>0</v>
      </c>
      <c r="AP268" s="710">
        <f t="shared" si="94"/>
        <v>0</v>
      </c>
      <c r="AQ268" s="710">
        <f t="shared" si="94"/>
        <v>0</v>
      </c>
      <c r="AR268" s="710">
        <f t="shared" si="94"/>
        <v>0</v>
      </c>
      <c r="AS268" s="685">
        <f t="shared" si="84"/>
        <v>0</v>
      </c>
      <c r="AU268" s="686">
        <f t="shared" si="88"/>
        <v>3</v>
      </c>
      <c r="AV268" s="665">
        <f t="shared" si="93"/>
        <v>1.580821917808219</v>
      </c>
      <c r="AW268" s="687">
        <f t="shared" si="89"/>
        <v>-0.47305936073059363</v>
      </c>
      <c r="AX268" s="663">
        <f t="shared" si="90"/>
        <v>0</v>
      </c>
      <c r="AY268" s="687">
        <f t="shared" si="92"/>
        <v>-1</v>
      </c>
      <c r="BC268" s="688">
        <f t="shared" si="91"/>
        <v>2.7397260273972603E-3</v>
      </c>
    </row>
    <row r="269" spans="1:55" x14ac:dyDescent="0.25">
      <c r="A269" s="693" t="s">
        <v>1130</v>
      </c>
      <c r="B269" s="693"/>
      <c r="C269" s="693"/>
      <c r="D269" s="694"/>
      <c r="E269" s="693">
        <v>48</v>
      </c>
      <c r="F269" s="693">
        <v>56</v>
      </c>
      <c r="G269" s="693">
        <v>46</v>
      </c>
      <c r="H269" s="693">
        <v>51</v>
      </c>
      <c r="I269" s="693">
        <v>50</v>
      </c>
      <c r="J269" s="693">
        <v>48</v>
      </c>
      <c r="K269" s="693">
        <v>43</v>
      </c>
      <c r="L269" s="693">
        <v>47</v>
      </c>
      <c r="M269" s="693">
        <v>57</v>
      </c>
      <c r="N269" s="693">
        <v>45</v>
      </c>
      <c r="O269" s="693">
        <v>70</v>
      </c>
      <c r="P269" s="693">
        <v>57</v>
      </c>
      <c r="Q269" s="695">
        <f t="shared" si="87"/>
        <v>618</v>
      </c>
      <c r="R269" s="695"/>
      <c r="S269" s="693">
        <v>45</v>
      </c>
      <c r="T269" s="693">
        <v>68</v>
      </c>
      <c r="U269" s="693">
        <v>47</v>
      </c>
      <c r="V269" s="693">
        <v>50</v>
      </c>
      <c r="W269" s="696">
        <f>SUM(W230:W268)</f>
        <v>54</v>
      </c>
      <c r="X269" s="696">
        <f t="shared" ref="X269:AD269" si="95">SUM(X230:X268)</f>
        <v>60.830136986301376</v>
      </c>
      <c r="Y269" s="696">
        <f t="shared" si="95"/>
        <v>62.980821917808221</v>
      </c>
      <c r="Z269" s="696">
        <f t="shared" si="95"/>
        <v>58.07945205479453</v>
      </c>
      <c r="AA269" s="696">
        <f t="shared" si="95"/>
        <v>63.980821917808221</v>
      </c>
      <c r="AB269" s="696">
        <f t="shared" si="95"/>
        <v>55.013698630136993</v>
      </c>
      <c r="AC269" s="696">
        <f t="shared" si="95"/>
        <v>68.980821917808228</v>
      </c>
      <c r="AD269" s="696">
        <f t="shared" si="95"/>
        <v>60.013698630136993</v>
      </c>
      <c r="AE269" s="697">
        <f>SUM(S269:AD269)</f>
        <v>693.87945205479457</v>
      </c>
      <c r="AF269" s="694"/>
      <c r="AG269" s="694">
        <f t="shared" ref="AG269:AR269" si="96">SUM(AG230:AG268)</f>
        <v>59</v>
      </c>
      <c r="AH269" s="694">
        <f t="shared" si="96"/>
        <v>59</v>
      </c>
      <c r="AI269" s="694">
        <f t="shared" si="96"/>
        <v>59</v>
      </c>
      <c r="AJ269" s="694">
        <f t="shared" si="96"/>
        <v>58</v>
      </c>
      <c r="AK269" s="694">
        <f t="shared" si="96"/>
        <v>60</v>
      </c>
      <c r="AL269" s="694">
        <f t="shared" si="96"/>
        <v>59</v>
      </c>
      <c r="AM269" s="694">
        <f t="shared" si="96"/>
        <v>57</v>
      </c>
      <c r="AN269" s="694">
        <f t="shared" si="96"/>
        <v>59</v>
      </c>
      <c r="AO269" s="694">
        <f t="shared" si="96"/>
        <v>57</v>
      </c>
      <c r="AP269" s="694">
        <f t="shared" si="96"/>
        <v>59</v>
      </c>
      <c r="AQ269" s="694">
        <f t="shared" si="96"/>
        <v>57</v>
      </c>
      <c r="AR269" s="694">
        <f t="shared" si="96"/>
        <v>58</v>
      </c>
      <c r="AS269" s="694">
        <f>SUM(AS230:AS268)</f>
        <v>701</v>
      </c>
      <c r="AT269" s="694"/>
      <c r="AU269" s="697">
        <f t="shared" si="88"/>
        <v>618</v>
      </c>
      <c r="AV269" s="697">
        <f t="shared" si="93"/>
        <v>693.87945205479457</v>
      </c>
      <c r="AW269" s="698">
        <f t="shared" si="89"/>
        <v>0.12278228487830845</v>
      </c>
      <c r="AX269" s="694">
        <f t="shared" si="90"/>
        <v>701</v>
      </c>
      <c r="AY269" s="698">
        <f t="shared" si="92"/>
        <v>1.0261938041426832E-2</v>
      </c>
      <c r="AZ269" s="698"/>
      <c r="BA269" s="698"/>
      <c r="BC269" s="688">
        <f t="shared" si="91"/>
        <v>1.7178082191780821</v>
      </c>
    </row>
    <row r="270" spans="1:55" x14ac:dyDescent="0.25">
      <c r="A270" s="664" t="s">
        <v>1131</v>
      </c>
      <c r="B270" s="662" t="s">
        <v>973</v>
      </c>
      <c r="C270" s="662" t="s">
        <v>932</v>
      </c>
      <c r="D270" s="663"/>
      <c r="E270" s="662">
        <v>1</v>
      </c>
      <c r="G270" s="662">
        <v>2</v>
      </c>
      <c r="H270" s="662">
        <v>1</v>
      </c>
      <c r="L270" s="662">
        <v>2</v>
      </c>
      <c r="M270" s="662">
        <v>2</v>
      </c>
      <c r="O270" s="662">
        <v>1</v>
      </c>
      <c r="Q270" s="681">
        <f t="shared" si="87"/>
        <v>9</v>
      </c>
      <c r="R270" s="711"/>
      <c r="S270" s="662">
        <v>3</v>
      </c>
      <c r="U270" s="662">
        <v>1</v>
      </c>
      <c r="W270" s="683">
        <v>0</v>
      </c>
      <c r="X270" s="683">
        <v>2</v>
      </c>
      <c r="Y270" s="683">
        <v>2</v>
      </c>
      <c r="Z270" s="683">
        <v>0</v>
      </c>
      <c r="AA270" s="683">
        <v>2</v>
      </c>
      <c r="AB270" s="683">
        <v>0</v>
      </c>
      <c r="AC270" s="683">
        <f t="shared" ref="Y270:AD293" si="97">$BC270*AC$1</f>
        <v>0.76438356164383559</v>
      </c>
      <c r="AD270" s="683">
        <v>0</v>
      </c>
      <c r="AE270" s="684">
        <f t="shared" si="76"/>
        <v>10.764383561643836</v>
      </c>
      <c r="AG270" s="692">
        <v>1</v>
      </c>
      <c r="AH270" s="692">
        <v>1</v>
      </c>
      <c r="AI270" s="692">
        <v>1</v>
      </c>
      <c r="AJ270" s="692">
        <v>1</v>
      </c>
      <c r="AK270" s="692">
        <v>1</v>
      </c>
      <c r="AL270" s="692">
        <v>0</v>
      </c>
      <c r="AM270" s="692">
        <v>1</v>
      </c>
      <c r="AN270" s="692">
        <v>1</v>
      </c>
      <c r="AO270" s="692">
        <v>1</v>
      </c>
      <c r="AP270" s="692">
        <v>1</v>
      </c>
      <c r="AQ270" s="692">
        <v>1</v>
      </c>
      <c r="AR270" s="692">
        <v>1</v>
      </c>
      <c r="AS270" s="685">
        <f t="shared" ref="AS270:AS278" si="98">SUM(AG270:AR270)</f>
        <v>11</v>
      </c>
      <c r="AU270" s="686">
        <f t="shared" si="88"/>
        <v>9</v>
      </c>
      <c r="AV270" s="665">
        <f t="shared" si="93"/>
        <v>10.764383561643836</v>
      </c>
      <c r="AW270" s="687">
        <f t="shared" si="89"/>
        <v>0.19604261796042621</v>
      </c>
      <c r="AX270" s="663">
        <f t="shared" si="90"/>
        <v>11</v>
      </c>
      <c r="AY270" s="687">
        <f t="shared" si="92"/>
        <v>2.1888521252227067E-2</v>
      </c>
      <c r="BC270" s="688">
        <f t="shared" si="91"/>
        <v>2.4657534246575342E-2</v>
      </c>
    </row>
    <row r="271" spans="1:55" x14ac:dyDescent="0.25">
      <c r="C271" s="662" t="s">
        <v>939</v>
      </c>
      <c r="D271" s="663"/>
      <c r="F271" s="662">
        <v>1</v>
      </c>
      <c r="H271" s="662">
        <v>1</v>
      </c>
      <c r="I271" s="662">
        <v>2</v>
      </c>
      <c r="J271" s="662">
        <v>1</v>
      </c>
      <c r="K271" s="662">
        <v>8</v>
      </c>
      <c r="L271" s="662">
        <v>1</v>
      </c>
      <c r="M271" s="662">
        <v>3</v>
      </c>
      <c r="Q271" s="681">
        <f t="shared" si="87"/>
        <v>17</v>
      </c>
      <c r="R271" s="711"/>
      <c r="S271" s="662">
        <v>1</v>
      </c>
      <c r="T271" s="662">
        <v>1</v>
      </c>
      <c r="V271" s="662">
        <v>1</v>
      </c>
      <c r="W271" s="683">
        <f t="shared" ref="W271:X293" si="99">$BC271*W$1</f>
        <v>1.4794520547945205</v>
      </c>
      <c r="X271" s="683">
        <v>0</v>
      </c>
      <c r="Y271" s="683">
        <v>1</v>
      </c>
      <c r="Z271" s="683">
        <v>1</v>
      </c>
      <c r="AA271" s="683">
        <v>0</v>
      </c>
      <c r="AB271" s="683">
        <v>0</v>
      </c>
      <c r="AC271" s="683">
        <v>1</v>
      </c>
      <c r="AD271" s="683">
        <v>1</v>
      </c>
      <c r="AE271" s="684">
        <f t="shared" ref="AE271:AE334" si="100">SUM(S271:AD271)</f>
        <v>8.4794520547945211</v>
      </c>
      <c r="AG271" s="692">
        <v>1</v>
      </c>
      <c r="AH271" s="692">
        <v>1</v>
      </c>
      <c r="AI271" s="692">
        <v>0</v>
      </c>
      <c r="AJ271" s="692">
        <v>1</v>
      </c>
      <c r="AK271" s="692">
        <v>1</v>
      </c>
      <c r="AL271" s="692">
        <v>0</v>
      </c>
      <c r="AM271" s="692">
        <v>1</v>
      </c>
      <c r="AN271" s="692">
        <v>1</v>
      </c>
      <c r="AO271" s="692">
        <v>0</v>
      </c>
      <c r="AP271" s="692">
        <v>1</v>
      </c>
      <c r="AQ271" s="692">
        <v>1</v>
      </c>
      <c r="AR271" s="692">
        <v>0</v>
      </c>
      <c r="AS271" s="685">
        <f t="shared" si="98"/>
        <v>8</v>
      </c>
      <c r="AU271" s="686">
        <f t="shared" si="88"/>
        <v>17</v>
      </c>
      <c r="AV271" s="665">
        <f t="shared" si="93"/>
        <v>8.4794520547945211</v>
      </c>
      <c r="AW271" s="687">
        <f t="shared" si="89"/>
        <v>-0.50120870265914585</v>
      </c>
      <c r="AX271" s="663">
        <f t="shared" si="90"/>
        <v>8</v>
      </c>
      <c r="AY271" s="687">
        <f t="shared" si="92"/>
        <v>-5.6542810985460434E-2</v>
      </c>
      <c r="BC271" s="688">
        <f t="shared" si="91"/>
        <v>4.9315068493150684E-2</v>
      </c>
    </row>
    <row r="272" spans="1:55" x14ac:dyDescent="0.25">
      <c r="C272" s="662" t="s">
        <v>961</v>
      </c>
      <c r="D272" s="663"/>
      <c r="E272" s="662">
        <v>1</v>
      </c>
      <c r="M272" s="662">
        <v>6</v>
      </c>
      <c r="N272" s="662">
        <v>1</v>
      </c>
      <c r="O272" s="662">
        <v>1</v>
      </c>
      <c r="Q272" s="681">
        <f t="shared" si="87"/>
        <v>9</v>
      </c>
      <c r="R272" s="711"/>
      <c r="W272" s="683">
        <v>0</v>
      </c>
      <c r="X272" s="683">
        <v>0</v>
      </c>
      <c r="Y272" s="683">
        <v>0</v>
      </c>
      <c r="Z272" s="683">
        <v>0</v>
      </c>
      <c r="AA272" s="683">
        <v>0</v>
      </c>
      <c r="AB272" s="683">
        <v>0</v>
      </c>
      <c r="AC272" s="683">
        <v>0</v>
      </c>
      <c r="AD272" s="683">
        <v>0</v>
      </c>
      <c r="AE272" s="684">
        <f t="shared" si="100"/>
        <v>0</v>
      </c>
      <c r="AG272" s="692">
        <v>0</v>
      </c>
      <c r="AH272" s="692">
        <v>0</v>
      </c>
      <c r="AI272" s="692">
        <v>0</v>
      </c>
      <c r="AJ272" s="692">
        <v>0</v>
      </c>
      <c r="AK272" s="692">
        <v>0</v>
      </c>
      <c r="AL272" s="692">
        <v>0</v>
      </c>
      <c r="AM272" s="692">
        <v>0</v>
      </c>
      <c r="AN272" s="692">
        <v>0</v>
      </c>
      <c r="AO272" s="692">
        <v>0</v>
      </c>
      <c r="AP272" s="692">
        <v>0</v>
      </c>
      <c r="AQ272" s="692">
        <v>0</v>
      </c>
      <c r="AR272" s="692">
        <v>0</v>
      </c>
      <c r="AS272" s="685">
        <f t="shared" si="98"/>
        <v>0</v>
      </c>
      <c r="AU272" s="686">
        <f t="shared" si="88"/>
        <v>9</v>
      </c>
      <c r="AV272" s="665">
        <f t="shared" si="93"/>
        <v>0</v>
      </c>
      <c r="AW272" s="687">
        <f t="shared" si="89"/>
        <v>-1</v>
      </c>
      <c r="AX272" s="663">
        <f t="shared" si="90"/>
        <v>0</v>
      </c>
      <c r="AY272" s="687">
        <v>0</v>
      </c>
      <c r="BC272" s="688">
        <f t="shared" si="91"/>
        <v>2.1917808219178082E-2</v>
      </c>
    </row>
    <row r="273" spans="1:55" x14ac:dyDescent="0.25">
      <c r="B273" s="662" t="s">
        <v>1132</v>
      </c>
      <c r="C273" s="662" t="s">
        <v>932</v>
      </c>
      <c r="D273" s="663" t="s">
        <v>1133</v>
      </c>
      <c r="E273" s="662">
        <v>3</v>
      </c>
      <c r="F273" s="662">
        <v>3</v>
      </c>
      <c r="G273" s="662">
        <v>1</v>
      </c>
      <c r="H273" s="662">
        <v>3</v>
      </c>
      <c r="I273" s="662">
        <v>4</v>
      </c>
      <c r="J273" s="662">
        <v>2</v>
      </c>
      <c r="Q273" s="681">
        <f t="shared" si="87"/>
        <v>16</v>
      </c>
      <c r="R273" s="711"/>
      <c r="W273" s="683">
        <v>0</v>
      </c>
      <c r="X273" s="683">
        <v>0</v>
      </c>
      <c r="Y273" s="683">
        <v>0</v>
      </c>
      <c r="Z273" s="683">
        <v>0</v>
      </c>
      <c r="AA273" s="683">
        <v>0</v>
      </c>
      <c r="AB273" s="683">
        <v>0</v>
      </c>
      <c r="AC273" s="683">
        <v>0</v>
      </c>
      <c r="AD273" s="683">
        <v>0</v>
      </c>
      <c r="AE273" s="684">
        <f t="shared" si="100"/>
        <v>0</v>
      </c>
      <c r="AG273" s="692">
        <v>0</v>
      </c>
      <c r="AH273" s="692">
        <v>0</v>
      </c>
      <c r="AI273" s="692">
        <v>0</v>
      </c>
      <c r="AJ273" s="692">
        <v>0</v>
      </c>
      <c r="AK273" s="692">
        <v>0</v>
      </c>
      <c r="AL273" s="692">
        <v>0</v>
      </c>
      <c r="AM273" s="692">
        <v>0</v>
      </c>
      <c r="AN273" s="692">
        <v>0</v>
      </c>
      <c r="AO273" s="692">
        <v>0</v>
      </c>
      <c r="AP273" s="692">
        <v>0</v>
      </c>
      <c r="AQ273" s="692">
        <v>0</v>
      </c>
      <c r="AR273" s="692">
        <v>0</v>
      </c>
      <c r="AS273" s="685">
        <f t="shared" si="98"/>
        <v>0</v>
      </c>
      <c r="AU273" s="686">
        <f t="shared" si="88"/>
        <v>16</v>
      </c>
      <c r="AV273" s="665">
        <f t="shared" si="93"/>
        <v>0</v>
      </c>
      <c r="AW273" s="687">
        <f t="shared" si="89"/>
        <v>-1</v>
      </c>
      <c r="AX273" s="663">
        <f t="shared" si="90"/>
        <v>0</v>
      </c>
      <c r="AY273" s="687">
        <v>0</v>
      </c>
      <c r="BC273" s="688">
        <f t="shared" si="91"/>
        <v>1.643835616438356E-2</v>
      </c>
    </row>
    <row r="274" spans="1:55" x14ac:dyDescent="0.25">
      <c r="C274" s="662" t="s">
        <v>939</v>
      </c>
      <c r="D274" s="663" t="s">
        <v>945</v>
      </c>
      <c r="E274" s="662">
        <v>2</v>
      </c>
      <c r="F274" s="662">
        <v>5</v>
      </c>
      <c r="G274" s="662">
        <v>13</v>
      </c>
      <c r="H274" s="662">
        <v>1</v>
      </c>
      <c r="I274" s="662">
        <v>3</v>
      </c>
      <c r="J274" s="662">
        <v>5</v>
      </c>
      <c r="Q274" s="681">
        <f t="shared" si="87"/>
        <v>29</v>
      </c>
      <c r="R274" s="711"/>
      <c r="W274" s="683">
        <v>1</v>
      </c>
      <c r="X274" s="683">
        <v>1</v>
      </c>
      <c r="Y274" s="683">
        <v>8</v>
      </c>
      <c r="Z274" s="683">
        <v>8</v>
      </c>
      <c r="AA274" s="683">
        <v>8</v>
      </c>
      <c r="AB274" s="683">
        <v>8</v>
      </c>
      <c r="AC274" s="683">
        <v>8</v>
      </c>
      <c r="AD274" s="683">
        <v>8</v>
      </c>
      <c r="AE274" s="684">
        <f t="shared" si="100"/>
        <v>50</v>
      </c>
      <c r="AG274" s="692">
        <v>8</v>
      </c>
      <c r="AH274" s="692">
        <v>8</v>
      </c>
      <c r="AI274" s="692">
        <v>8</v>
      </c>
      <c r="AJ274" s="692">
        <v>8</v>
      </c>
      <c r="AK274" s="692">
        <v>8</v>
      </c>
      <c r="AL274" s="692">
        <v>8</v>
      </c>
      <c r="AM274" s="692">
        <v>8</v>
      </c>
      <c r="AN274" s="692">
        <v>8</v>
      </c>
      <c r="AO274" s="692">
        <v>8</v>
      </c>
      <c r="AP274" s="692">
        <v>8</v>
      </c>
      <c r="AQ274" s="692">
        <v>8</v>
      </c>
      <c r="AR274" s="692">
        <v>8</v>
      </c>
      <c r="AS274" s="685">
        <f t="shared" si="98"/>
        <v>96</v>
      </c>
      <c r="AU274" s="686">
        <f t="shared" si="88"/>
        <v>29</v>
      </c>
      <c r="AV274" s="665">
        <f t="shared" si="93"/>
        <v>50</v>
      </c>
      <c r="AW274" s="687">
        <f t="shared" si="89"/>
        <v>0.72413793103448265</v>
      </c>
      <c r="AX274" s="663">
        <f t="shared" si="90"/>
        <v>96</v>
      </c>
      <c r="AY274" s="687">
        <f t="shared" si="92"/>
        <v>0.91999999999999993</v>
      </c>
      <c r="BC274" s="688">
        <f t="shared" si="91"/>
        <v>2.1917808219178082E-2</v>
      </c>
    </row>
    <row r="275" spans="1:55" x14ac:dyDescent="0.25">
      <c r="C275" s="662" t="s">
        <v>961</v>
      </c>
      <c r="D275" s="663" t="s">
        <v>945</v>
      </c>
      <c r="F275" s="662">
        <v>1</v>
      </c>
      <c r="G275" s="662">
        <v>2</v>
      </c>
      <c r="H275" s="662">
        <v>3</v>
      </c>
      <c r="I275" s="662">
        <v>1</v>
      </c>
      <c r="Q275" s="681">
        <f t="shared" si="87"/>
        <v>7</v>
      </c>
      <c r="R275" s="711"/>
      <c r="W275" s="683">
        <v>1</v>
      </c>
      <c r="X275" s="683">
        <v>1</v>
      </c>
      <c r="Y275" s="683">
        <v>3</v>
      </c>
      <c r="Z275" s="683">
        <v>3</v>
      </c>
      <c r="AA275" s="683">
        <v>3</v>
      </c>
      <c r="AB275" s="683">
        <v>3</v>
      </c>
      <c r="AC275" s="683">
        <v>3</v>
      </c>
      <c r="AD275" s="683">
        <v>3</v>
      </c>
      <c r="AE275" s="684">
        <f t="shared" si="100"/>
        <v>20</v>
      </c>
      <c r="AG275" s="692">
        <v>3</v>
      </c>
      <c r="AH275" s="692">
        <v>3</v>
      </c>
      <c r="AI275" s="692">
        <v>3</v>
      </c>
      <c r="AJ275" s="692">
        <v>3</v>
      </c>
      <c r="AK275" s="692">
        <v>3</v>
      </c>
      <c r="AL275" s="692">
        <v>3</v>
      </c>
      <c r="AM275" s="692">
        <v>3</v>
      </c>
      <c r="AN275" s="692">
        <v>3</v>
      </c>
      <c r="AO275" s="692">
        <v>3</v>
      </c>
      <c r="AP275" s="692">
        <v>3</v>
      </c>
      <c r="AQ275" s="692">
        <v>3</v>
      </c>
      <c r="AR275" s="692">
        <v>3</v>
      </c>
      <c r="AS275" s="685">
        <f t="shared" si="98"/>
        <v>36</v>
      </c>
      <c r="AU275" s="686">
        <f t="shared" si="88"/>
        <v>7</v>
      </c>
      <c r="AV275" s="665">
        <f t="shared" si="93"/>
        <v>20</v>
      </c>
      <c r="AW275" s="687">
        <f t="shared" si="89"/>
        <v>1.8571428571428572</v>
      </c>
      <c r="AX275" s="663">
        <f t="shared" si="90"/>
        <v>36</v>
      </c>
      <c r="AY275" s="687">
        <f t="shared" si="92"/>
        <v>0.8</v>
      </c>
      <c r="BC275" s="688">
        <f t="shared" si="91"/>
        <v>2.7397260273972603E-3</v>
      </c>
    </row>
    <row r="276" spans="1:55" x14ac:dyDescent="0.25">
      <c r="B276" s="662" t="s">
        <v>1134</v>
      </c>
      <c r="C276" s="662" t="s">
        <v>932</v>
      </c>
      <c r="D276" s="663"/>
      <c r="L276" s="662">
        <v>1</v>
      </c>
      <c r="N276" s="662">
        <v>3</v>
      </c>
      <c r="O276" s="662">
        <v>1</v>
      </c>
      <c r="Q276" s="681">
        <f t="shared" si="87"/>
        <v>5</v>
      </c>
      <c r="R276" s="711"/>
      <c r="U276" s="662">
        <v>2</v>
      </c>
      <c r="W276" s="683">
        <v>0</v>
      </c>
      <c r="X276" s="683">
        <v>0</v>
      </c>
      <c r="Y276" s="683">
        <v>0</v>
      </c>
      <c r="Z276" s="683">
        <v>1</v>
      </c>
      <c r="AA276" s="683">
        <v>0</v>
      </c>
      <c r="AB276" s="683">
        <v>3</v>
      </c>
      <c r="AC276" s="683">
        <v>1</v>
      </c>
      <c r="AD276" s="683">
        <v>0</v>
      </c>
      <c r="AE276" s="684">
        <f t="shared" si="100"/>
        <v>7</v>
      </c>
      <c r="AG276" s="692">
        <v>1</v>
      </c>
      <c r="AH276" s="692">
        <v>0</v>
      </c>
      <c r="AI276" s="692">
        <v>1</v>
      </c>
      <c r="AJ276" s="692">
        <v>0</v>
      </c>
      <c r="AK276" s="692">
        <v>1</v>
      </c>
      <c r="AL276" s="692">
        <v>0</v>
      </c>
      <c r="AM276" s="692">
        <v>1</v>
      </c>
      <c r="AN276" s="692">
        <v>0</v>
      </c>
      <c r="AO276" s="692">
        <v>1</v>
      </c>
      <c r="AP276" s="692">
        <v>0</v>
      </c>
      <c r="AQ276" s="692">
        <v>1</v>
      </c>
      <c r="AR276" s="692">
        <v>0</v>
      </c>
      <c r="AS276" s="685">
        <f t="shared" si="98"/>
        <v>6</v>
      </c>
      <c r="AU276" s="686">
        <f t="shared" si="88"/>
        <v>5</v>
      </c>
      <c r="AV276" s="665">
        <f t="shared" si="93"/>
        <v>7</v>
      </c>
      <c r="AW276" s="687">
        <f t="shared" si="89"/>
        <v>0.39999999999999991</v>
      </c>
      <c r="AX276" s="663">
        <f t="shared" si="90"/>
        <v>6</v>
      </c>
      <c r="AY276" s="687">
        <f t="shared" si="92"/>
        <v>-0.1428571428571429</v>
      </c>
      <c r="BC276" s="688">
        <f t="shared" si="91"/>
        <v>1.9178082191780823E-2</v>
      </c>
    </row>
    <row r="277" spans="1:55" x14ac:dyDescent="0.25">
      <c r="A277" s="662"/>
      <c r="C277" s="662" t="s">
        <v>939</v>
      </c>
      <c r="D277" s="663"/>
      <c r="E277" s="662">
        <v>2</v>
      </c>
      <c r="F277" s="662">
        <v>2</v>
      </c>
      <c r="G277" s="662">
        <v>5</v>
      </c>
      <c r="H277" s="662">
        <v>5</v>
      </c>
      <c r="I277" s="662">
        <v>6</v>
      </c>
      <c r="J277" s="662">
        <v>8</v>
      </c>
      <c r="K277" s="662">
        <v>2</v>
      </c>
      <c r="L277" s="662">
        <v>2</v>
      </c>
      <c r="M277" s="662">
        <v>3</v>
      </c>
      <c r="N277" s="662">
        <v>8</v>
      </c>
      <c r="O277" s="662">
        <v>6</v>
      </c>
      <c r="P277" s="662">
        <v>10</v>
      </c>
      <c r="Q277" s="662">
        <f t="shared" si="87"/>
        <v>59</v>
      </c>
      <c r="S277" s="662">
        <v>10</v>
      </c>
      <c r="T277" s="662">
        <v>5</v>
      </c>
      <c r="U277" s="662">
        <v>7</v>
      </c>
      <c r="V277" s="662">
        <v>4</v>
      </c>
      <c r="W277" s="683">
        <v>1</v>
      </c>
      <c r="X277" s="683">
        <v>1</v>
      </c>
      <c r="Y277" s="683">
        <v>4</v>
      </c>
      <c r="Z277" s="683">
        <v>2</v>
      </c>
      <c r="AA277" s="683">
        <v>3</v>
      </c>
      <c r="AB277" s="683">
        <v>8</v>
      </c>
      <c r="AC277" s="683">
        <v>6</v>
      </c>
      <c r="AD277" s="683">
        <v>10</v>
      </c>
      <c r="AE277" s="684">
        <f t="shared" si="100"/>
        <v>61</v>
      </c>
      <c r="AG277" s="663">
        <v>3</v>
      </c>
      <c r="AH277" s="663">
        <v>3</v>
      </c>
      <c r="AI277" s="663">
        <v>3</v>
      </c>
      <c r="AJ277" s="663">
        <v>3</v>
      </c>
      <c r="AK277" s="663">
        <v>3</v>
      </c>
      <c r="AL277" s="663">
        <v>3</v>
      </c>
      <c r="AM277" s="663">
        <v>3</v>
      </c>
      <c r="AN277" s="663">
        <v>3</v>
      </c>
      <c r="AO277" s="663">
        <v>3</v>
      </c>
      <c r="AP277" s="663">
        <v>3</v>
      </c>
      <c r="AQ277" s="663">
        <v>3</v>
      </c>
      <c r="AR277" s="663">
        <v>3</v>
      </c>
      <c r="AS277" s="685">
        <f t="shared" si="98"/>
        <v>36</v>
      </c>
      <c r="AU277" s="686">
        <f t="shared" si="88"/>
        <v>59</v>
      </c>
      <c r="AV277" s="665">
        <f t="shared" si="93"/>
        <v>61</v>
      </c>
      <c r="AW277" s="687">
        <f t="shared" si="89"/>
        <v>3.3898305084745672E-2</v>
      </c>
      <c r="AX277" s="663">
        <f t="shared" si="90"/>
        <v>36</v>
      </c>
      <c r="AY277" s="713">
        <f t="shared" si="92"/>
        <v>-0.4098360655737705</v>
      </c>
      <c r="BC277" s="688">
        <f t="shared" si="91"/>
        <v>0.19452054794520549</v>
      </c>
    </row>
    <row r="278" spans="1:55" x14ac:dyDescent="0.25">
      <c r="C278" s="662" t="s">
        <v>961</v>
      </c>
      <c r="D278" s="663"/>
      <c r="E278" s="662">
        <v>1</v>
      </c>
      <c r="G278" s="662">
        <v>3</v>
      </c>
      <c r="H278" s="662">
        <v>1</v>
      </c>
      <c r="I278" s="662">
        <v>3</v>
      </c>
      <c r="J278" s="662">
        <v>3</v>
      </c>
      <c r="L278" s="662">
        <v>2</v>
      </c>
      <c r="M278" s="662">
        <v>1</v>
      </c>
      <c r="N278" s="662">
        <v>1</v>
      </c>
      <c r="O278" s="662">
        <v>1</v>
      </c>
      <c r="P278" s="662">
        <v>2</v>
      </c>
      <c r="Q278" s="681">
        <f t="shared" si="87"/>
        <v>18</v>
      </c>
      <c r="R278" s="711"/>
      <c r="W278" s="683">
        <v>0</v>
      </c>
      <c r="X278" s="683">
        <v>0</v>
      </c>
      <c r="Y278" s="683">
        <v>0</v>
      </c>
      <c r="Z278" s="683">
        <v>0</v>
      </c>
      <c r="AA278" s="683">
        <v>0</v>
      </c>
      <c r="AB278" s="683">
        <v>0</v>
      </c>
      <c r="AC278" s="683">
        <v>0</v>
      </c>
      <c r="AD278" s="683">
        <v>0</v>
      </c>
      <c r="AE278" s="684">
        <f t="shared" si="100"/>
        <v>0</v>
      </c>
      <c r="AF278" s="714"/>
      <c r="AG278" s="663">
        <v>0</v>
      </c>
      <c r="AH278" s="663">
        <v>0</v>
      </c>
      <c r="AI278" s="663">
        <v>0</v>
      </c>
      <c r="AJ278" s="663">
        <v>0</v>
      </c>
      <c r="AK278" s="663">
        <v>0</v>
      </c>
      <c r="AL278" s="663">
        <v>0</v>
      </c>
      <c r="AM278" s="663">
        <v>0</v>
      </c>
      <c r="AN278" s="663">
        <v>0</v>
      </c>
      <c r="AO278" s="663">
        <v>0</v>
      </c>
      <c r="AP278" s="663">
        <v>0</v>
      </c>
      <c r="AQ278" s="663">
        <v>0</v>
      </c>
      <c r="AR278" s="663">
        <v>0</v>
      </c>
      <c r="AS278" s="685">
        <f t="shared" si="98"/>
        <v>0</v>
      </c>
      <c r="AT278" s="714"/>
      <c r="AU278" s="686">
        <f t="shared" si="88"/>
        <v>18</v>
      </c>
      <c r="AV278" s="665">
        <f t="shared" si="93"/>
        <v>0</v>
      </c>
      <c r="AW278" s="687">
        <f t="shared" si="89"/>
        <v>-1</v>
      </c>
      <c r="AX278" s="663">
        <f t="shared" si="90"/>
        <v>0</v>
      </c>
      <c r="AY278" s="713">
        <v>0</v>
      </c>
      <c r="BC278" s="688">
        <f t="shared" si="91"/>
        <v>3.5616438356164383E-2</v>
      </c>
    </row>
    <row r="279" spans="1:55" x14ac:dyDescent="0.25">
      <c r="A279" s="693" t="s">
        <v>1135</v>
      </c>
      <c r="B279" s="693"/>
      <c r="C279" s="693"/>
      <c r="D279" s="694"/>
      <c r="E279" s="693">
        <v>10</v>
      </c>
      <c r="F279" s="693">
        <v>12</v>
      </c>
      <c r="G279" s="693">
        <v>26</v>
      </c>
      <c r="H279" s="693">
        <v>15</v>
      </c>
      <c r="I279" s="693">
        <v>19</v>
      </c>
      <c r="J279" s="693">
        <v>19</v>
      </c>
      <c r="K279" s="693">
        <v>10</v>
      </c>
      <c r="L279" s="693">
        <v>8</v>
      </c>
      <c r="M279" s="693">
        <v>15</v>
      </c>
      <c r="N279" s="693">
        <v>13</v>
      </c>
      <c r="O279" s="693">
        <v>10</v>
      </c>
      <c r="P279" s="693">
        <v>12</v>
      </c>
      <c r="Q279" s="695">
        <f t="shared" si="87"/>
        <v>169</v>
      </c>
      <c r="R279" s="695"/>
      <c r="S279" s="693">
        <v>14</v>
      </c>
      <c r="T279" s="693">
        <v>6</v>
      </c>
      <c r="U279" s="693">
        <v>10</v>
      </c>
      <c r="V279" s="693">
        <v>5</v>
      </c>
      <c r="W279" s="696">
        <f>SUM(W270:W278)</f>
        <v>4.4794520547945202</v>
      </c>
      <c r="X279" s="696">
        <f t="shared" ref="X279:AD279" si="101">SUM(X270:X278)</f>
        <v>5</v>
      </c>
      <c r="Y279" s="696">
        <f t="shared" si="101"/>
        <v>18</v>
      </c>
      <c r="Z279" s="696">
        <f t="shared" si="101"/>
        <v>15</v>
      </c>
      <c r="AA279" s="696">
        <f t="shared" si="101"/>
        <v>16</v>
      </c>
      <c r="AB279" s="696">
        <f t="shared" si="101"/>
        <v>22</v>
      </c>
      <c r="AC279" s="696">
        <f t="shared" si="101"/>
        <v>19.764383561643836</v>
      </c>
      <c r="AD279" s="696">
        <f t="shared" si="101"/>
        <v>22</v>
      </c>
      <c r="AE279" s="697">
        <f t="shared" si="100"/>
        <v>157.24383561643836</v>
      </c>
      <c r="AF279" s="694"/>
      <c r="AG279" s="694">
        <f t="shared" ref="AG279:AR279" si="102">SUM(AG270:AG278)</f>
        <v>17</v>
      </c>
      <c r="AH279" s="694">
        <f t="shared" si="102"/>
        <v>16</v>
      </c>
      <c r="AI279" s="694">
        <f t="shared" si="102"/>
        <v>16</v>
      </c>
      <c r="AJ279" s="694">
        <f t="shared" si="102"/>
        <v>16</v>
      </c>
      <c r="AK279" s="694">
        <f t="shared" si="102"/>
        <v>17</v>
      </c>
      <c r="AL279" s="694">
        <f t="shared" si="102"/>
        <v>14</v>
      </c>
      <c r="AM279" s="694">
        <f t="shared" si="102"/>
        <v>17</v>
      </c>
      <c r="AN279" s="694">
        <f t="shared" si="102"/>
        <v>16</v>
      </c>
      <c r="AO279" s="694">
        <f t="shared" si="102"/>
        <v>16</v>
      </c>
      <c r="AP279" s="694">
        <f t="shared" si="102"/>
        <v>16</v>
      </c>
      <c r="AQ279" s="694">
        <f t="shared" si="102"/>
        <v>17</v>
      </c>
      <c r="AR279" s="694">
        <f t="shared" si="102"/>
        <v>15</v>
      </c>
      <c r="AS279" s="694">
        <f>SUM(AS270:AS278)</f>
        <v>193</v>
      </c>
      <c r="AT279" s="694"/>
      <c r="AU279" s="697">
        <f t="shared" si="88"/>
        <v>169</v>
      </c>
      <c r="AV279" s="697">
        <f t="shared" si="93"/>
        <v>157.24383561643836</v>
      </c>
      <c r="AW279" s="698">
        <f t="shared" si="89"/>
        <v>-6.956310286131151E-2</v>
      </c>
      <c r="AX279" s="694">
        <f t="shared" si="90"/>
        <v>193</v>
      </c>
      <c r="AY279" s="698">
        <f t="shared" si="92"/>
        <v>0.2273931072934452</v>
      </c>
      <c r="AZ279" s="698"/>
      <c r="BA279" s="698"/>
      <c r="BC279" s="688">
        <f t="shared" si="91"/>
        <v>0.38630136986301372</v>
      </c>
    </row>
    <row r="280" spans="1:55" x14ac:dyDescent="0.25">
      <c r="A280" s="664" t="s">
        <v>1136</v>
      </c>
      <c r="B280" s="662" t="s">
        <v>1137</v>
      </c>
      <c r="C280" s="662" t="s">
        <v>932</v>
      </c>
      <c r="D280" s="663"/>
      <c r="E280" s="662">
        <v>3</v>
      </c>
      <c r="G280" s="662">
        <v>6</v>
      </c>
      <c r="H280" s="662">
        <v>1</v>
      </c>
      <c r="J280" s="662">
        <v>2</v>
      </c>
      <c r="K280" s="662">
        <v>2</v>
      </c>
      <c r="L280" s="662">
        <v>3</v>
      </c>
      <c r="M280" s="662">
        <v>1</v>
      </c>
      <c r="N280" s="662">
        <v>1</v>
      </c>
      <c r="O280" s="662">
        <v>1</v>
      </c>
      <c r="Q280" s="681">
        <f t="shared" si="87"/>
        <v>20</v>
      </c>
      <c r="R280" s="711"/>
      <c r="S280" s="662">
        <v>9</v>
      </c>
      <c r="U280" s="662">
        <v>1</v>
      </c>
      <c r="V280" s="662">
        <v>2</v>
      </c>
      <c r="W280" s="683">
        <v>0</v>
      </c>
      <c r="X280" s="683">
        <v>2</v>
      </c>
      <c r="Y280" s="683">
        <v>2</v>
      </c>
      <c r="Z280" s="683">
        <v>3</v>
      </c>
      <c r="AA280" s="683">
        <v>1</v>
      </c>
      <c r="AB280" s="683">
        <v>1</v>
      </c>
      <c r="AC280" s="683">
        <v>1</v>
      </c>
      <c r="AD280" s="683">
        <v>0</v>
      </c>
      <c r="AE280" s="684">
        <f t="shared" si="100"/>
        <v>22</v>
      </c>
      <c r="AF280" s="714"/>
      <c r="AG280" s="692">
        <v>2</v>
      </c>
      <c r="AH280" s="692">
        <v>2</v>
      </c>
      <c r="AI280" s="692">
        <v>2</v>
      </c>
      <c r="AJ280" s="692">
        <v>2</v>
      </c>
      <c r="AK280" s="692">
        <v>2</v>
      </c>
      <c r="AL280" s="692">
        <v>1</v>
      </c>
      <c r="AM280" s="692">
        <v>2</v>
      </c>
      <c r="AN280" s="692">
        <v>2</v>
      </c>
      <c r="AO280" s="692">
        <v>2</v>
      </c>
      <c r="AP280" s="692">
        <v>2</v>
      </c>
      <c r="AQ280" s="692">
        <v>1</v>
      </c>
      <c r="AR280" s="692">
        <v>2</v>
      </c>
      <c r="AS280" s="685">
        <f t="shared" ref="AS280:AS311" si="103">SUM(AG280:AR280)</f>
        <v>22</v>
      </c>
      <c r="AT280" s="714"/>
      <c r="AU280" s="686">
        <f t="shared" si="88"/>
        <v>20</v>
      </c>
      <c r="AV280" s="665">
        <f t="shared" si="93"/>
        <v>22</v>
      </c>
      <c r="AW280" s="687">
        <f t="shared" si="89"/>
        <v>0.10000000000000009</v>
      </c>
      <c r="AX280" s="663">
        <f t="shared" si="90"/>
        <v>22</v>
      </c>
      <c r="AY280" s="687">
        <f t="shared" si="92"/>
        <v>0</v>
      </c>
      <c r="BC280" s="688">
        <f t="shared" si="91"/>
        <v>6.0273972602739728E-2</v>
      </c>
    </row>
    <row r="281" spans="1:55" x14ac:dyDescent="0.25">
      <c r="C281" s="662" t="s">
        <v>961</v>
      </c>
      <c r="D281" s="663"/>
      <c r="E281" s="662">
        <v>2</v>
      </c>
      <c r="G281" s="662">
        <v>2</v>
      </c>
      <c r="H281" s="662">
        <v>1</v>
      </c>
      <c r="I281" s="662">
        <v>1</v>
      </c>
      <c r="K281" s="662">
        <v>1</v>
      </c>
      <c r="L281" s="662">
        <v>2</v>
      </c>
      <c r="M281" s="662">
        <v>1</v>
      </c>
      <c r="P281" s="662">
        <v>1</v>
      </c>
      <c r="Q281" s="681">
        <f t="shared" si="87"/>
        <v>11</v>
      </c>
      <c r="R281" s="711"/>
      <c r="V281" s="662">
        <v>3</v>
      </c>
      <c r="W281" s="683">
        <v>1</v>
      </c>
      <c r="X281" s="683">
        <v>0</v>
      </c>
      <c r="Y281" s="683">
        <v>1</v>
      </c>
      <c r="Z281" s="683">
        <v>2</v>
      </c>
      <c r="AA281" s="683">
        <v>1</v>
      </c>
      <c r="AB281" s="683">
        <v>0</v>
      </c>
      <c r="AC281" s="683">
        <v>0</v>
      </c>
      <c r="AD281" s="683">
        <v>1</v>
      </c>
      <c r="AE281" s="684">
        <f t="shared" si="100"/>
        <v>9</v>
      </c>
      <c r="AF281" s="714"/>
      <c r="AG281" s="692">
        <v>1</v>
      </c>
      <c r="AH281" s="692">
        <v>1</v>
      </c>
      <c r="AI281" s="692">
        <v>0</v>
      </c>
      <c r="AJ281" s="692">
        <v>1</v>
      </c>
      <c r="AK281" s="692">
        <v>1</v>
      </c>
      <c r="AL281" s="692">
        <v>1</v>
      </c>
      <c r="AM281" s="692">
        <v>0</v>
      </c>
      <c r="AN281" s="692">
        <v>1</v>
      </c>
      <c r="AO281" s="692">
        <v>1</v>
      </c>
      <c r="AP281" s="692">
        <v>0</v>
      </c>
      <c r="AQ281" s="692">
        <v>1</v>
      </c>
      <c r="AR281" s="692">
        <v>1</v>
      </c>
      <c r="AS281" s="685">
        <f t="shared" si="103"/>
        <v>9</v>
      </c>
      <c r="AT281" s="714"/>
      <c r="AU281" s="686">
        <f t="shared" si="88"/>
        <v>11</v>
      </c>
      <c r="AV281" s="665">
        <f t="shared" si="93"/>
        <v>9</v>
      </c>
      <c r="AW281" s="687">
        <f t="shared" si="89"/>
        <v>-0.18181818181818177</v>
      </c>
      <c r="AX281" s="663">
        <f t="shared" si="90"/>
        <v>9</v>
      </c>
      <c r="AY281" s="687">
        <f t="shared" si="92"/>
        <v>0</v>
      </c>
      <c r="BC281" s="688">
        <f t="shared" si="91"/>
        <v>2.4657534246575342E-2</v>
      </c>
    </row>
    <row r="282" spans="1:55" x14ac:dyDescent="0.25">
      <c r="B282" s="662" t="s">
        <v>1138</v>
      </c>
      <c r="C282" s="662" t="s">
        <v>932</v>
      </c>
      <c r="D282" s="663"/>
      <c r="Q282" s="681">
        <f t="shared" si="87"/>
        <v>0</v>
      </c>
      <c r="R282" s="711"/>
      <c r="U282" s="662">
        <v>1</v>
      </c>
      <c r="W282" s="683">
        <v>0</v>
      </c>
      <c r="X282" s="683">
        <v>0</v>
      </c>
      <c r="Y282" s="683">
        <v>0</v>
      </c>
      <c r="Z282" s="683">
        <v>0</v>
      </c>
      <c r="AA282" s="683">
        <v>0</v>
      </c>
      <c r="AB282" s="683">
        <v>0</v>
      </c>
      <c r="AC282" s="683">
        <v>0</v>
      </c>
      <c r="AD282" s="683">
        <v>0</v>
      </c>
      <c r="AE282" s="684">
        <f t="shared" si="100"/>
        <v>1</v>
      </c>
      <c r="AF282" s="714"/>
      <c r="AG282" s="692">
        <v>0</v>
      </c>
      <c r="AH282" s="692">
        <v>0</v>
      </c>
      <c r="AI282" s="692">
        <v>0</v>
      </c>
      <c r="AJ282" s="692">
        <v>0</v>
      </c>
      <c r="AK282" s="692">
        <v>0</v>
      </c>
      <c r="AL282" s="692">
        <v>0</v>
      </c>
      <c r="AM282" s="692">
        <v>0</v>
      </c>
      <c r="AN282" s="692">
        <v>0</v>
      </c>
      <c r="AO282" s="692">
        <v>0</v>
      </c>
      <c r="AP282" s="692">
        <v>0</v>
      </c>
      <c r="AQ282" s="692">
        <v>0</v>
      </c>
      <c r="AR282" s="692">
        <v>0</v>
      </c>
      <c r="AS282" s="685">
        <f t="shared" si="103"/>
        <v>0</v>
      </c>
      <c r="AT282" s="714"/>
      <c r="AU282" s="686">
        <f t="shared" si="88"/>
        <v>0</v>
      </c>
      <c r="AV282" s="665">
        <f t="shared" si="93"/>
        <v>1</v>
      </c>
      <c r="AW282" s="687">
        <v>1</v>
      </c>
      <c r="AX282" s="663">
        <f t="shared" si="90"/>
        <v>0</v>
      </c>
      <c r="AY282" s="687">
        <f t="shared" si="92"/>
        <v>-1</v>
      </c>
      <c r="BC282" s="688">
        <f t="shared" si="91"/>
        <v>2.7397260273972603E-3</v>
      </c>
    </row>
    <row r="283" spans="1:55" x14ac:dyDescent="0.25">
      <c r="C283" s="662" t="s">
        <v>939</v>
      </c>
      <c r="D283" s="663"/>
      <c r="F283" s="662">
        <v>1</v>
      </c>
      <c r="I283" s="662">
        <v>2</v>
      </c>
      <c r="J283" s="662">
        <v>1</v>
      </c>
      <c r="N283" s="662">
        <v>2</v>
      </c>
      <c r="O283" s="662">
        <v>1</v>
      </c>
      <c r="Q283" s="681">
        <f t="shared" si="87"/>
        <v>7</v>
      </c>
      <c r="R283" s="711"/>
      <c r="S283" s="662">
        <v>1</v>
      </c>
      <c r="U283" s="662">
        <v>1</v>
      </c>
      <c r="V283" s="662">
        <v>1</v>
      </c>
      <c r="W283" s="683">
        <v>0</v>
      </c>
      <c r="X283" s="683">
        <f t="shared" si="99"/>
        <v>0.76438356164383559</v>
      </c>
      <c r="Y283" s="683">
        <v>0</v>
      </c>
      <c r="Z283" s="683">
        <f t="shared" si="97"/>
        <v>0.69041095890410953</v>
      </c>
      <c r="AA283" s="683">
        <v>0</v>
      </c>
      <c r="AB283" s="683">
        <v>1</v>
      </c>
      <c r="AC283" s="683">
        <v>1</v>
      </c>
      <c r="AD283" s="683">
        <v>1</v>
      </c>
      <c r="AE283" s="684">
        <f t="shared" si="100"/>
        <v>7.4547945205479449</v>
      </c>
      <c r="AF283" s="714"/>
      <c r="AG283" s="692">
        <v>1</v>
      </c>
      <c r="AH283" s="692">
        <v>0</v>
      </c>
      <c r="AI283" s="692">
        <v>1</v>
      </c>
      <c r="AJ283" s="692">
        <v>0</v>
      </c>
      <c r="AK283" s="692">
        <v>1</v>
      </c>
      <c r="AL283" s="692">
        <v>0</v>
      </c>
      <c r="AM283" s="692">
        <v>1</v>
      </c>
      <c r="AN283" s="692">
        <v>0</v>
      </c>
      <c r="AO283" s="692">
        <v>1</v>
      </c>
      <c r="AP283" s="692">
        <v>1</v>
      </c>
      <c r="AQ283" s="692">
        <v>0</v>
      </c>
      <c r="AR283" s="692">
        <v>1</v>
      </c>
      <c r="AS283" s="685">
        <f t="shared" si="103"/>
        <v>7</v>
      </c>
      <c r="AT283" s="714"/>
      <c r="AU283" s="686">
        <f t="shared" si="88"/>
        <v>7</v>
      </c>
      <c r="AV283" s="665">
        <f t="shared" si="93"/>
        <v>7.4547945205479449</v>
      </c>
      <c r="AW283" s="687">
        <f t="shared" si="89"/>
        <v>6.4970645792563619E-2</v>
      </c>
      <c r="AX283" s="663">
        <f t="shared" si="90"/>
        <v>7</v>
      </c>
      <c r="AY283" s="687">
        <f t="shared" si="92"/>
        <v>-6.1006982726938608E-2</v>
      </c>
      <c r="BC283" s="688">
        <f t="shared" si="91"/>
        <v>2.4657534246575342E-2</v>
      </c>
    </row>
    <row r="284" spans="1:55" x14ac:dyDescent="0.25">
      <c r="C284" s="662" t="s">
        <v>961</v>
      </c>
      <c r="D284" s="663"/>
      <c r="E284" s="662">
        <v>1</v>
      </c>
      <c r="F284" s="662">
        <v>8</v>
      </c>
      <c r="G284" s="662">
        <v>8</v>
      </c>
      <c r="H284" s="662">
        <v>4</v>
      </c>
      <c r="J284" s="662">
        <v>10</v>
      </c>
      <c r="K284" s="662">
        <v>4</v>
      </c>
      <c r="L284" s="662">
        <v>3</v>
      </c>
      <c r="M284" s="662">
        <v>11</v>
      </c>
      <c r="N284" s="662">
        <v>5</v>
      </c>
      <c r="O284" s="662">
        <v>4</v>
      </c>
      <c r="Q284" s="681">
        <f t="shared" si="87"/>
        <v>58</v>
      </c>
      <c r="R284" s="711"/>
      <c r="S284" s="662">
        <v>30</v>
      </c>
      <c r="T284" s="662">
        <v>48</v>
      </c>
      <c r="U284" s="662">
        <v>35</v>
      </c>
      <c r="V284" s="662">
        <v>56</v>
      </c>
      <c r="W284" s="683">
        <f t="shared" si="99"/>
        <v>16.93150684931507</v>
      </c>
      <c r="X284" s="683">
        <v>15</v>
      </c>
      <c r="Y284" s="683">
        <v>25</v>
      </c>
      <c r="Z284" s="683">
        <v>65</v>
      </c>
      <c r="AA284" s="683">
        <v>65</v>
      </c>
      <c r="AB284" s="683">
        <v>65</v>
      </c>
      <c r="AC284" s="683">
        <v>65</v>
      </c>
      <c r="AD284" s="683">
        <v>65</v>
      </c>
      <c r="AE284" s="684">
        <f t="shared" si="100"/>
        <v>550.93150684931504</v>
      </c>
      <c r="AF284" s="714"/>
      <c r="AG284" s="692">
        <v>35</v>
      </c>
      <c r="AH284" s="692">
        <v>35</v>
      </c>
      <c r="AI284" s="692">
        <v>35</v>
      </c>
      <c r="AJ284" s="692">
        <v>35</v>
      </c>
      <c r="AK284" s="692">
        <v>35</v>
      </c>
      <c r="AL284" s="692">
        <v>35</v>
      </c>
      <c r="AM284" s="692">
        <v>35</v>
      </c>
      <c r="AN284" s="692">
        <v>35</v>
      </c>
      <c r="AO284" s="692">
        <v>35</v>
      </c>
      <c r="AP284" s="692">
        <v>35</v>
      </c>
      <c r="AQ284" s="692">
        <v>35</v>
      </c>
      <c r="AR284" s="692">
        <v>35</v>
      </c>
      <c r="AS284" s="685">
        <f t="shared" si="103"/>
        <v>420</v>
      </c>
      <c r="AT284" s="714"/>
      <c r="AU284" s="686">
        <f t="shared" si="88"/>
        <v>58</v>
      </c>
      <c r="AV284" s="665">
        <f t="shared" si="93"/>
        <v>550.93150684931504</v>
      </c>
      <c r="AW284" s="687">
        <f t="shared" si="89"/>
        <v>8.4988190836088808</v>
      </c>
      <c r="AX284" s="663">
        <f t="shared" si="90"/>
        <v>420</v>
      </c>
      <c r="AY284" s="687">
        <f t="shared" si="92"/>
        <v>-0.23765478144114571</v>
      </c>
      <c r="BC284" s="688">
        <f t="shared" si="91"/>
        <v>0.56438356164383563</v>
      </c>
    </row>
    <row r="285" spans="1:55" x14ac:dyDescent="0.25">
      <c r="C285" s="662" t="s">
        <v>1059</v>
      </c>
      <c r="D285" s="663"/>
      <c r="E285" s="662">
        <v>16</v>
      </c>
      <c r="F285" s="662">
        <v>23</v>
      </c>
      <c r="G285" s="662">
        <v>14</v>
      </c>
      <c r="H285" s="662">
        <v>32</v>
      </c>
      <c r="I285" s="662">
        <v>23</v>
      </c>
      <c r="J285" s="662">
        <v>16</v>
      </c>
      <c r="K285" s="662">
        <v>31</v>
      </c>
      <c r="L285" s="662">
        <v>23</v>
      </c>
      <c r="M285" s="662">
        <v>15</v>
      </c>
      <c r="N285" s="662">
        <v>37</v>
      </c>
      <c r="O285" s="662">
        <v>38</v>
      </c>
      <c r="P285" s="662">
        <v>15</v>
      </c>
      <c r="Q285" s="681">
        <f t="shared" si="87"/>
        <v>283</v>
      </c>
      <c r="R285" s="711"/>
      <c r="W285" s="683">
        <v>0</v>
      </c>
      <c r="X285" s="683">
        <v>0</v>
      </c>
      <c r="Y285" s="683">
        <v>0</v>
      </c>
      <c r="Z285" s="683">
        <v>0</v>
      </c>
      <c r="AA285" s="683">
        <v>0</v>
      </c>
      <c r="AB285" s="683">
        <v>0</v>
      </c>
      <c r="AC285" s="683">
        <v>0</v>
      </c>
      <c r="AD285" s="683">
        <v>0</v>
      </c>
      <c r="AE285" s="684">
        <f t="shared" si="100"/>
        <v>0</v>
      </c>
      <c r="AF285" s="714"/>
      <c r="AG285" s="692">
        <v>0</v>
      </c>
      <c r="AH285" s="692">
        <v>0</v>
      </c>
      <c r="AI285" s="692">
        <v>0</v>
      </c>
      <c r="AJ285" s="692">
        <v>0</v>
      </c>
      <c r="AK285" s="692">
        <v>0</v>
      </c>
      <c r="AL285" s="692">
        <v>0</v>
      </c>
      <c r="AM285" s="692">
        <v>0</v>
      </c>
      <c r="AN285" s="692">
        <v>0</v>
      </c>
      <c r="AO285" s="692">
        <v>0</v>
      </c>
      <c r="AP285" s="692">
        <v>0</v>
      </c>
      <c r="AQ285" s="692">
        <v>0</v>
      </c>
      <c r="AR285" s="692">
        <v>0</v>
      </c>
      <c r="AS285" s="685">
        <f t="shared" si="103"/>
        <v>0</v>
      </c>
      <c r="AT285" s="714"/>
      <c r="AU285" s="686">
        <f t="shared" si="88"/>
        <v>283</v>
      </c>
      <c r="AV285" s="665">
        <f t="shared" si="93"/>
        <v>0</v>
      </c>
      <c r="AW285" s="687">
        <f t="shared" si="89"/>
        <v>-1</v>
      </c>
      <c r="AX285" s="663">
        <f t="shared" si="90"/>
        <v>0</v>
      </c>
      <c r="AY285" s="687">
        <v>0</v>
      </c>
      <c r="BC285" s="688">
        <f t="shared" si="91"/>
        <v>0.54246575342465753</v>
      </c>
    </row>
    <row r="286" spans="1:55" x14ac:dyDescent="0.25">
      <c r="B286" s="662" t="s">
        <v>1139</v>
      </c>
      <c r="C286" s="662" t="s">
        <v>961</v>
      </c>
      <c r="D286" s="663"/>
      <c r="F286" s="662">
        <v>1</v>
      </c>
      <c r="Q286" s="681">
        <f t="shared" si="87"/>
        <v>1</v>
      </c>
      <c r="R286" s="711"/>
      <c r="W286" s="683">
        <f t="shared" si="99"/>
        <v>0</v>
      </c>
      <c r="X286" s="683">
        <f t="shared" si="99"/>
        <v>0</v>
      </c>
      <c r="Y286" s="683">
        <f t="shared" si="97"/>
        <v>0</v>
      </c>
      <c r="Z286" s="683">
        <f t="shared" si="97"/>
        <v>0</v>
      </c>
      <c r="AA286" s="683">
        <f t="shared" si="97"/>
        <v>0</v>
      </c>
      <c r="AB286" s="683">
        <f t="shared" si="97"/>
        <v>0</v>
      </c>
      <c r="AC286" s="683">
        <f t="shared" si="97"/>
        <v>0</v>
      </c>
      <c r="AD286" s="683">
        <f t="shared" si="97"/>
        <v>0</v>
      </c>
      <c r="AE286" s="684">
        <f t="shared" si="100"/>
        <v>0</v>
      </c>
      <c r="AF286" s="714"/>
      <c r="AG286" s="692">
        <v>0</v>
      </c>
      <c r="AH286" s="692">
        <v>0</v>
      </c>
      <c r="AI286" s="692">
        <v>0</v>
      </c>
      <c r="AJ286" s="692">
        <v>0</v>
      </c>
      <c r="AK286" s="692">
        <v>0</v>
      </c>
      <c r="AL286" s="692">
        <v>0</v>
      </c>
      <c r="AM286" s="692">
        <v>0</v>
      </c>
      <c r="AN286" s="692">
        <v>0</v>
      </c>
      <c r="AO286" s="692">
        <v>0</v>
      </c>
      <c r="AP286" s="692">
        <v>0</v>
      </c>
      <c r="AQ286" s="692">
        <v>0</v>
      </c>
      <c r="AR286" s="692">
        <v>0</v>
      </c>
      <c r="AS286" s="685">
        <f t="shared" si="103"/>
        <v>0</v>
      </c>
      <c r="AT286" s="714"/>
      <c r="AU286" s="686">
        <f t="shared" si="88"/>
        <v>1</v>
      </c>
      <c r="AV286" s="665">
        <f t="shared" si="93"/>
        <v>0</v>
      </c>
      <c r="AW286" s="687">
        <f t="shared" si="89"/>
        <v>-1</v>
      </c>
      <c r="AX286" s="663">
        <f t="shared" si="90"/>
        <v>0</v>
      </c>
      <c r="AY286" s="687">
        <v>0</v>
      </c>
      <c r="BC286" s="688">
        <f t="shared" si="91"/>
        <v>0</v>
      </c>
    </row>
    <row r="287" spans="1:55" x14ac:dyDescent="0.25">
      <c r="B287" s="662" t="s">
        <v>1140</v>
      </c>
      <c r="C287" s="662" t="s">
        <v>932</v>
      </c>
      <c r="D287" s="663"/>
      <c r="Q287" s="681">
        <f t="shared" si="87"/>
        <v>0</v>
      </c>
      <c r="R287" s="711"/>
      <c r="U287" s="662">
        <v>1</v>
      </c>
      <c r="W287" s="683">
        <v>0</v>
      </c>
      <c r="X287" s="683">
        <v>0</v>
      </c>
      <c r="Y287" s="683">
        <v>0</v>
      </c>
      <c r="Z287" s="683">
        <v>0</v>
      </c>
      <c r="AA287" s="683">
        <v>0</v>
      </c>
      <c r="AB287" s="683">
        <v>0</v>
      </c>
      <c r="AC287" s="683">
        <v>0</v>
      </c>
      <c r="AD287" s="683">
        <v>0</v>
      </c>
      <c r="AE287" s="684">
        <f t="shared" si="100"/>
        <v>1</v>
      </c>
      <c r="AF287" s="714"/>
      <c r="AG287" s="692">
        <v>0</v>
      </c>
      <c r="AH287" s="692">
        <v>0</v>
      </c>
      <c r="AI287" s="692">
        <v>0</v>
      </c>
      <c r="AJ287" s="692">
        <v>0</v>
      </c>
      <c r="AK287" s="692">
        <v>0</v>
      </c>
      <c r="AL287" s="692">
        <v>0</v>
      </c>
      <c r="AM287" s="692">
        <v>0</v>
      </c>
      <c r="AN287" s="692">
        <v>0</v>
      </c>
      <c r="AO287" s="692">
        <v>0</v>
      </c>
      <c r="AP287" s="692">
        <v>0</v>
      </c>
      <c r="AQ287" s="692">
        <v>0</v>
      </c>
      <c r="AR287" s="692">
        <v>0</v>
      </c>
      <c r="AS287" s="685">
        <f t="shared" si="103"/>
        <v>0</v>
      </c>
      <c r="AT287" s="714"/>
      <c r="AU287" s="686">
        <f t="shared" si="88"/>
        <v>0</v>
      </c>
      <c r="AV287" s="665">
        <f t="shared" si="93"/>
        <v>1</v>
      </c>
      <c r="AW287" s="687">
        <v>1</v>
      </c>
      <c r="AX287" s="663">
        <f t="shared" si="90"/>
        <v>0</v>
      </c>
      <c r="AY287" s="687">
        <f t="shared" si="92"/>
        <v>-1</v>
      </c>
      <c r="BC287" s="688">
        <f t="shared" si="91"/>
        <v>2.7397260273972603E-3</v>
      </c>
    </row>
    <row r="288" spans="1:55" x14ac:dyDescent="0.25">
      <c r="C288" s="662" t="s">
        <v>939</v>
      </c>
      <c r="D288" s="663"/>
      <c r="H288" s="662">
        <v>1</v>
      </c>
      <c r="I288" s="662">
        <v>2</v>
      </c>
      <c r="K288" s="662">
        <v>1</v>
      </c>
      <c r="M288" s="662">
        <v>1</v>
      </c>
      <c r="Q288" s="681">
        <f t="shared" si="87"/>
        <v>5</v>
      </c>
      <c r="R288" s="711"/>
      <c r="V288" s="662">
        <v>1</v>
      </c>
      <c r="W288" s="683">
        <v>0</v>
      </c>
      <c r="X288" s="683">
        <v>0</v>
      </c>
      <c r="Y288" s="683">
        <v>0</v>
      </c>
      <c r="Z288" s="683">
        <v>0</v>
      </c>
      <c r="AA288" s="683">
        <v>0</v>
      </c>
      <c r="AB288" s="683">
        <v>0</v>
      </c>
      <c r="AC288" s="683">
        <v>0</v>
      </c>
      <c r="AD288" s="683">
        <v>0</v>
      </c>
      <c r="AE288" s="684">
        <f t="shared" si="100"/>
        <v>1</v>
      </c>
      <c r="AF288" s="714"/>
      <c r="AG288" s="692">
        <v>0</v>
      </c>
      <c r="AH288" s="692">
        <v>0</v>
      </c>
      <c r="AI288" s="692">
        <v>0</v>
      </c>
      <c r="AJ288" s="692">
        <v>0</v>
      </c>
      <c r="AK288" s="692">
        <v>0</v>
      </c>
      <c r="AL288" s="692">
        <v>0</v>
      </c>
      <c r="AM288" s="692">
        <v>0</v>
      </c>
      <c r="AN288" s="692">
        <v>0</v>
      </c>
      <c r="AO288" s="692">
        <v>0</v>
      </c>
      <c r="AP288" s="692">
        <v>0</v>
      </c>
      <c r="AQ288" s="692">
        <v>0</v>
      </c>
      <c r="AR288" s="692">
        <v>0</v>
      </c>
      <c r="AS288" s="685">
        <f t="shared" si="103"/>
        <v>0</v>
      </c>
      <c r="AT288" s="714"/>
      <c r="AU288" s="686">
        <f t="shared" si="88"/>
        <v>5</v>
      </c>
      <c r="AV288" s="665">
        <f t="shared" si="93"/>
        <v>1</v>
      </c>
      <c r="AW288" s="687">
        <f t="shared" si="89"/>
        <v>-0.8</v>
      </c>
      <c r="AX288" s="663">
        <f t="shared" si="90"/>
        <v>0</v>
      </c>
      <c r="AY288" s="687">
        <f t="shared" si="92"/>
        <v>-1</v>
      </c>
      <c r="BC288" s="688">
        <f t="shared" si="91"/>
        <v>1.3698630136986301E-2</v>
      </c>
    </row>
    <row r="289" spans="1:55" x14ac:dyDescent="0.25">
      <c r="C289" s="662" t="s">
        <v>961</v>
      </c>
      <c r="D289" s="663"/>
      <c r="E289" s="662">
        <v>1</v>
      </c>
      <c r="G289" s="662">
        <v>7</v>
      </c>
      <c r="H289" s="662">
        <v>8</v>
      </c>
      <c r="J289" s="662">
        <v>8</v>
      </c>
      <c r="K289" s="662">
        <v>4</v>
      </c>
      <c r="L289" s="662">
        <v>1</v>
      </c>
      <c r="M289" s="662">
        <v>8</v>
      </c>
      <c r="O289" s="662">
        <v>9</v>
      </c>
      <c r="P289" s="662">
        <v>7</v>
      </c>
      <c r="Q289" s="681">
        <f t="shared" si="87"/>
        <v>53</v>
      </c>
      <c r="R289" s="711"/>
      <c r="S289" s="662">
        <v>17</v>
      </c>
      <c r="T289" s="662">
        <v>25</v>
      </c>
      <c r="U289" s="662">
        <v>25</v>
      </c>
      <c r="V289" s="662">
        <v>21</v>
      </c>
      <c r="W289" s="683">
        <v>27</v>
      </c>
      <c r="X289" s="683">
        <v>27</v>
      </c>
      <c r="Y289" s="683">
        <v>27</v>
      </c>
      <c r="Z289" s="683">
        <v>27</v>
      </c>
      <c r="AA289" s="683">
        <v>35</v>
      </c>
      <c r="AB289" s="683">
        <v>35</v>
      </c>
      <c r="AC289" s="683">
        <v>35</v>
      </c>
      <c r="AD289" s="683">
        <v>35</v>
      </c>
      <c r="AE289" s="684">
        <f t="shared" si="100"/>
        <v>336</v>
      </c>
      <c r="AF289" s="714"/>
      <c r="AG289" s="692">
        <v>36</v>
      </c>
      <c r="AH289" s="692">
        <v>36</v>
      </c>
      <c r="AI289" s="692">
        <v>36</v>
      </c>
      <c r="AJ289" s="692">
        <v>36</v>
      </c>
      <c r="AK289" s="692">
        <v>36</v>
      </c>
      <c r="AL289" s="692">
        <v>36</v>
      </c>
      <c r="AM289" s="692">
        <v>36</v>
      </c>
      <c r="AN289" s="692">
        <v>36</v>
      </c>
      <c r="AO289" s="692">
        <v>36</v>
      </c>
      <c r="AP289" s="692">
        <v>36</v>
      </c>
      <c r="AQ289" s="692">
        <v>36</v>
      </c>
      <c r="AR289" s="692">
        <v>36</v>
      </c>
      <c r="AS289" s="685">
        <f t="shared" si="103"/>
        <v>432</v>
      </c>
      <c r="AT289" s="714"/>
      <c r="AU289" s="686">
        <f t="shared" si="88"/>
        <v>53</v>
      </c>
      <c r="AV289" s="665">
        <f t="shared" si="93"/>
        <v>336</v>
      </c>
      <c r="AW289" s="687">
        <f t="shared" si="89"/>
        <v>5.3396226415094343</v>
      </c>
      <c r="AX289" s="663">
        <f t="shared" si="90"/>
        <v>432</v>
      </c>
      <c r="AY289" s="687">
        <f t="shared" si="92"/>
        <v>0.28571428571428581</v>
      </c>
      <c r="BC289" s="688">
        <f t="shared" si="91"/>
        <v>0.34246575342465752</v>
      </c>
    </row>
    <row r="290" spans="1:55" x14ac:dyDescent="0.25">
      <c r="C290" s="662" t="s">
        <v>1059</v>
      </c>
      <c r="D290" s="663"/>
      <c r="E290" s="662">
        <v>20</v>
      </c>
      <c r="F290" s="662">
        <v>24</v>
      </c>
      <c r="G290" s="662">
        <v>20</v>
      </c>
      <c r="H290" s="662">
        <v>20</v>
      </c>
      <c r="I290" s="662">
        <v>28</v>
      </c>
      <c r="J290" s="662">
        <v>12</v>
      </c>
      <c r="K290" s="662">
        <v>17</v>
      </c>
      <c r="L290" s="662">
        <v>22</v>
      </c>
      <c r="M290" s="662">
        <v>25</v>
      </c>
      <c r="N290" s="662">
        <v>27</v>
      </c>
      <c r="O290" s="662">
        <v>14</v>
      </c>
      <c r="P290" s="662">
        <v>21</v>
      </c>
      <c r="Q290" s="681">
        <f t="shared" si="87"/>
        <v>250</v>
      </c>
      <c r="R290" s="711"/>
      <c r="W290" s="683">
        <v>0</v>
      </c>
      <c r="X290" s="683">
        <v>0</v>
      </c>
      <c r="Y290" s="683">
        <v>0</v>
      </c>
      <c r="Z290" s="683">
        <v>0</v>
      </c>
      <c r="AA290" s="683">
        <v>0</v>
      </c>
      <c r="AB290" s="683">
        <v>0</v>
      </c>
      <c r="AC290" s="683">
        <v>0</v>
      </c>
      <c r="AD290" s="683">
        <v>0</v>
      </c>
      <c r="AE290" s="684">
        <f t="shared" si="100"/>
        <v>0</v>
      </c>
      <c r="AF290" s="714"/>
      <c r="AG290" s="692">
        <v>0</v>
      </c>
      <c r="AH290" s="692">
        <v>0</v>
      </c>
      <c r="AI290" s="692">
        <v>0</v>
      </c>
      <c r="AJ290" s="692">
        <v>0</v>
      </c>
      <c r="AK290" s="692">
        <v>0</v>
      </c>
      <c r="AL290" s="692">
        <v>0</v>
      </c>
      <c r="AM290" s="692">
        <v>0</v>
      </c>
      <c r="AN290" s="692">
        <v>0</v>
      </c>
      <c r="AO290" s="692">
        <v>0</v>
      </c>
      <c r="AP290" s="692">
        <v>0</v>
      </c>
      <c r="AQ290" s="692">
        <v>0</v>
      </c>
      <c r="AR290" s="692">
        <v>0</v>
      </c>
      <c r="AS290" s="685">
        <f t="shared" si="103"/>
        <v>0</v>
      </c>
      <c r="AT290" s="714"/>
      <c r="AU290" s="686">
        <f t="shared" si="88"/>
        <v>250</v>
      </c>
      <c r="AV290" s="665">
        <f t="shared" si="93"/>
        <v>0</v>
      </c>
      <c r="AW290" s="687">
        <f t="shared" si="89"/>
        <v>-1</v>
      </c>
      <c r="AX290" s="663">
        <f t="shared" si="90"/>
        <v>0</v>
      </c>
      <c r="AY290" s="713">
        <v>0</v>
      </c>
      <c r="BC290" s="688">
        <f t="shared" si="91"/>
        <v>0.45479452054794522</v>
      </c>
    </row>
    <row r="291" spans="1:55" x14ac:dyDescent="0.25">
      <c r="A291" s="662"/>
      <c r="B291" s="662" t="s">
        <v>1141</v>
      </c>
      <c r="C291" s="662" t="s">
        <v>932</v>
      </c>
      <c r="D291" s="663"/>
      <c r="E291" s="662">
        <v>16</v>
      </c>
      <c r="F291" s="662">
        <v>15</v>
      </c>
      <c r="G291" s="662">
        <v>12</v>
      </c>
      <c r="H291" s="662">
        <v>15</v>
      </c>
      <c r="I291" s="662">
        <v>14</v>
      </c>
      <c r="J291" s="662">
        <v>12</v>
      </c>
      <c r="K291" s="662">
        <v>9</v>
      </c>
      <c r="L291" s="662">
        <v>10</v>
      </c>
      <c r="M291" s="662">
        <v>6</v>
      </c>
      <c r="N291" s="662">
        <v>16</v>
      </c>
      <c r="O291" s="662">
        <v>7</v>
      </c>
      <c r="P291" s="662">
        <v>14</v>
      </c>
      <c r="Q291" s="662">
        <f t="shared" si="87"/>
        <v>146</v>
      </c>
      <c r="S291" s="662">
        <v>19</v>
      </c>
      <c r="T291" s="662">
        <v>10</v>
      </c>
      <c r="U291" s="662">
        <v>9</v>
      </c>
      <c r="V291" s="662">
        <v>11</v>
      </c>
      <c r="W291" s="683">
        <v>12</v>
      </c>
      <c r="X291" s="683">
        <v>12</v>
      </c>
      <c r="Y291" s="683">
        <v>12</v>
      </c>
      <c r="Z291" s="683">
        <v>13</v>
      </c>
      <c r="AA291" s="683">
        <v>12</v>
      </c>
      <c r="AB291" s="683">
        <v>12</v>
      </c>
      <c r="AC291" s="683">
        <v>12</v>
      </c>
      <c r="AD291" s="683">
        <v>12</v>
      </c>
      <c r="AE291" s="684">
        <f>SUM(S291:AD291)</f>
        <v>146</v>
      </c>
      <c r="AG291" s="663">
        <v>12</v>
      </c>
      <c r="AH291" s="663">
        <v>12</v>
      </c>
      <c r="AI291" s="663">
        <v>13</v>
      </c>
      <c r="AJ291" s="663">
        <v>12</v>
      </c>
      <c r="AK291" s="663">
        <v>12</v>
      </c>
      <c r="AL291" s="663">
        <v>12</v>
      </c>
      <c r="AM291" s="663">
        <v>13</v>
      </c>
      <c r="AN291" s="663">
        <v>12</v>
      </c>
      <c r="AO291" s="663">
        <v>12</v>
      </c>
      <c r="AP291" s="663">
        <v>12</v>
      </c>
      <c r="AQ291" s="663">
        <v>12</v>
      </c>
      <c r="AR291" s="663">
        <v>12</v>
      </c>
      <c r="AS291" s="685">
        <f t="shared" si="103"/>
        <v>146</v>
      </c>
      <c r="AU291" s="686">
        <f t="shared" si="88"/>
        <v>146</v>
      </c>
      <c r="AV291" s="665">
        <f t="shared" si="93"/>
        <v>146</v>
      </c>
      <c r="AW291" s="687">
        <f t="shared" si="89"/>
        <v>0</v>
      </c>
      <c r="AX291" s="663">
        <f t="shared" si="90"/>
        <v>146</v>
      </c>
      <c r="AY291" s="713">
        <f t="shared" si="92"/>
        <v>0</v>
      </c>
      <c r="BC291" s="688">
        <f t="shared" si="91"/>
        <v>0.37534246575342467</v>
      </c>
    </row>
    <row r="292" spans="1:55" x14ac:dyDescent="0.25">
      <c r="C292" s="662" t="s">
        <v>961</v>
      </c>
      <c r="D292" s="663"/>
      <c r="E292" s="662">
        <v>3</v>
      </c>
      <c r="F292" s="662">
        <v>4</v>
      </c>
      <c r="H292" s="662">
        <v>6</v>
      </c>
      <c r="J292" s="662">
        <v>2</v>
      </c>
      <c r="K292" s="662">
        <v>2</v>
      </c>
      <c r="L292" s="662">
        <v>4</v>
      </c>
      <c r="M292" s="662">
        <v>3</v>
      </c>
      <c r="N292" s="662">
        <v>3</v>
      </c>
      <c r="O292" s="662">
        <v>4</v>
      </c>
      <c r="P292" s="662">
        <v>3</v>
      </c>
      <c r="Q292" s="681">
        <f t="shared" si="87"/>
        <v>34</v>
      </c>
      <c r="R292" s="711"/>
      <c r="S292" s="662">
        <v>5</v>
      </c>
      <c r="T292" s="662">
        <v>4</v>
      </c>
      <c r="U292" s="662">
        <v>1</v>
      </c>
      <c r="V292" s="662">
        <v>1</v>
      </c>
      <c r="W292" s="683">
        <v>3</v>
      </c>
      <c r="X292" s="683">
        <v>3</v>
      </c>
      <c r="Y292" s="683">
        <v>3</v>
      </c>
      <c r="Z292" s="683">
        <v>3</v>
      </c>
      <c r="AA292" s="683">
        <v>3</v>
      </c>
      <c r="AB292" s="683">
        <v>3</v>
      </c>
      <c r="AC292" s="683">
        <v>3</v>
      </c>
      <c r="AD292" s="683">
        <v>2</v>
      </c>
      <c r="AE292" s="684">
        <f t="shared" si="100"/>
        <v>34</v>
      </c>
      <c r="AF292" s="714"/>
      <c r="AG292" s="663">
        <v>3</v>
      </c>
      <c r="AH292" s="663">
        <v>3</v>
      </c>
      <c r="AI292" s="663">
        <v>2</v>
      </c>
      <c r="AJ292" s="663">
        <v>3</v>
      </c>
      <c r="AK292" s="663">
        <v>3</v>
      </c>
      <c r="AL292" s="663">
        <v>3</v>
      </c>
      <c r="AM292" s="663">
        <v>3</v>
      </c>
      <c r="AN292" s="663">
        <v>3</v>
      </c>
      <c r="AO292" s="663">
        <v>2</v>
      </c>
      <c r="AP292" s="663">
        <v>3</v>
      </c>
      <c r="AQ292" s="663">
        <v>3</v>
      </c>
      <c r="AR292" s="663">
        <v>3</v>
      </c>
      <c r="AS292" s="685">
        <f t="shared" si="103"/>
        <v>34</v>
      </c>
      <c r="AU292" s="686">
        <f t="shared" si="88"/>
        <v>34</v>
      </c>
      <c r="AV292" s="665">
        <f t="shared" si="93"/>
        <v>34</v>
      </c>
      <c r="AW292" s="687">
        <f t="shared" si="89"/>
        <v>0</v>
      </c>
      <c r="AX292" s="663">
        <f t="shared" si="90"/>
        <v>34</v>
      </c>
      <c r="AY292" s="713">
        <f t="shared" si="92"/>
        <v>0</v>
      </c>
      <c r="BC292" s="688">
        <f t="shared" si="91"/>
        <v>8.7671232876712329E-2</v>
      </c>
    </row>
    <row r="293" spans="1:55" x14ac:dyDescent="0.25">
      <c r="A293" s="662"/>
      <c r="B293" s="662" t="s">
        <v>1142</v>
      </c>
      <c r="C293" s="662" t="s">
        <v>932</v>
      </c>
      <c r="D293" s="663"/>
      <c r="E293" s="662">
        <v>5</v>
      </c>
      <c r="F293" s="662">
        <v>1</v>
      </c>
      <c r="G293" s="662">
        <v>4</v>
      </c>
      <c r="H293" s="662">
        <v>4</v>
      </c>
      <c r="I293" s="662">
        <v>5</v>
      </c>
      <c r="J293" s="662">
        <v>2</v>
      </c>
      <c r="K293" s="662">
        <v>2</v>
      </c>
      <c r="L293" s="662">
        <v>5</v>
      </c>
      <c r="M293" s="662">
        <v>5</v>
      </c>
      <c r="N293" s="662">
        <v>6</v>
      </c>
      <c r="O293" s="662">
        <v>5</v>
      </c>
      <c r="P293" s="662">
        <v>5</v>
      </c>
      <c r="Q293" s="662">
        <f t="shared" si="87"/>
        <v>49</v>
      </c>
      <c r="S293" s="662">
        <v>5</v>
      </c>
      <c r="T293" s="662">
        <v>5</v>
      </c>
      <c r="U293" s="662">
        <v>8</v>
      </c>
      <c r="V293" s="662">
        <v>4</v>
      </c>
      <c r="W293" s="683">
        <f t="shared" si="99"/>
        <v>4.6849315068493151</v>
      </c>
      <c r="X293" s="683">
        <f t="shared" si="99"/>
        <v>4.8410958904109584</v>
      </c>
      <c r="Y293" s="683">
        <f t="shared" si="97"/>
        <v>4.8410958904109584</v>
      </c>
      <c r="Z293" s="683">
        <f t="shared" si="97"/>
        <v>4.3726027397260276</v>
      </c>
      <c r="AA293" s="683">
        <f t="shared" si="97"/>
        <v>4.8410958904109584</v>
      </c>
      <c r="AB293" s="683">
        <f t="shared" si="97"/>
        <v>4.6849315068493151</v>
      </c>
      <c r="AC293" s="683">
        <f t="shared" si="97"/>
        <v>4.8410958904109584</v>
      </c>
      <c r="AD293" s="683">
        <f t="shared" si="97"/>
        <v>4.6849315068493151</v>
      </c>
      <c r="AE293" s="684">
        <f t="shared" si="100"/>
        <v>59.791780821917818</v>
      </c>
      <c r="AG293" s="663">
        <v>5</v>
      </c>
      <c r="AH293" s="663">
        <v>5</v>
      </c>
      <c r="AI293" s="663">
        <v>5</v>
      </c>
      <c r="AJ293" s="663">
        <v>5</v>
      </c>
      <c r="AK293" s="663">
        <v>5</v>
      </c>
      <c r="AL293" s="663">
        <v>5</v>
      </c>
      <c r="AM293" s="663">
        <v>5</v>
      </c>
      <c r="AN293" s="663">
        <v>5</v>
      </c>
      <c r="AO293" s="663">
        <v>5</v>
      </c>
      <c r="AP293" s="663">
        <v>5</v>
      </c>
      <c r="AQ293" s="663">
        <v>5</v>
      </c>
      <c r="AR293" s="663">
        <v>5</v>
      </c>
      <c r="AS293" s="685">
        <f t="shared" si="103"/>
        <v>60</v>
      </c>
      <c r="AU293" s="686">
        <f t="shared" si="88"/>
        <v>49</v>
      </c>
      <c r="AV293" s="665">
        <f t="shared" si="93"/>
        <v>59.791780821917818</v>
      </c>
      <c r="AW293" s="687">
        <f t="shared" si="89"/>
        <v>0.22024042493709839</v>
      </c>
      <c r="AX293" s="663">
        <f t="shared" si="90"/>
        <v>60</v>
      </c>
      <c r="AY293" s="713">
        <f t="shared" si="92"/>
        <v>3.4824046920818308E-3</v>
      </c>
      <c r="BC293" s="688">
        <f t="shared" si="91"/>
        <v>0.15616438356164383</v>
      </c>
    </row>
    <row r="294" spans="1:55" x14ac:dyDescent="0.25">
      <c r="B294" s="662" t="s">
        <v>1143</v>
      </c>
      <c r="C294" s="662" t="s">
        <v>932</v>
      </c>
      <c r="D294" s="663"/>
      <c r="F294" s="662">
        <v>1</v>
      </c>
      <c r="G294" s="662">
        <v>1</v>
      </c>
      <c r="N294" s="662">
        <v>1</v>
      </c>
      <c r="Q294" s="681">
        <f t="shared" si="87"/>
        <v>3</v>
      </c>
      <c r="R294" s="711"/>
      <c r="S294" s="662">
        <v>2</v>
      </c>
      <c r="U294" s="662">
        <v>2</v>
      </c>
      <c r="W294" s="683">
        <v>0</v>
      </c>
      <c r="X294" s="683">
        <v>0</v>
      </c>
      <c r="Y294" s="683">
        <v>0</v>
      </c>
      <c r="Z294" s="683">
        <v>0</v>
      </c>
      <c r="AA294" s="683">
        <v>0</v>
      </c>
      <c r="AB294" s="683">
        <v>1</v>
      </c>
      <c r="AC294" s="683">
        <v>0</v>
      </c>
      <c r="AD294" s="683">
        <v>0</v>
      </c>
      <c r="AE294" s="684">
        <f t="shared" si="100"/>
        <v>5</v>
      </c>
      <c r="AG294" s="663">
        <v>0</v>
      </c>
      <c r="AH294" s="663">
        <v>0</v>
      </c>
      <c r="AI294" s="663">
        <v>0</v>
      </c>
      <c r="AJ294" s="663">
        <v>0</v>
      </c>
      <c r="AK294" s="663">
        <v>0</v>
      </c>
      <c r="AL294" s="663">
        <v>0</v>
      </c>
      <c r="AM294" s="663">
        <v>0</v>
      </c>
      <c r="AN294" s="663">
        <v>0</v>
      </c>
      <c r="AO294" s="663">
        <v>0</v>
      </c>
      <c r="AP294" s="663">
        <v>0</v>
      </c>
      <c r="AQ294" s="663">
        <v>0</v>
      </c>
      <c r="AR294" s="663">
        <v>0</v>
      </c>
      <c r="AS294" s="685">
        <f t="shared" si="103"/>
        <v>0</v>
      </c>
      <c r="AU294" s="686">
        <f t="shared" si="88"/>
        <v>3</v>
      </c>
      <c r="AV294" s="665">
        <f t="shared" si="93"/>
        <v>5</v>
      </c>
      <c r="AW294" s="687">
        <f t="shared" si="89"/>
        <v>0.66666666666666674</v>
      </c>
      <c r="AX294" s="663">
        <f t="shared" si="90"/>
        <v>0</v>
      </c>
      <c r="AY294" s="713">
        <f t="shared" si="92"/>
        <v>-1</v>
      </c>
      <c r="BC294" s="688">
        <f t="shared" si="91"/>
        <v>1.3698630136986301E-2</v>
      </c>
    </row>
    <row r="295" spans="1:55" x14ac:dyDescent="0.25">
      <c r="C295" s="662" t="s">
        <v>939</v>
      </c>
      <c r="D295" s="663"/>
      <c r="E295" s="662">
        <v>1</v>
      </c>
      <c r="F295" s="662">
        <v>1</v>
      </c>
      <c r="H295" s="662">
        <v>1</v>
      </c>
      <c r="K295" s="662">
        <v>2</v>
      </c>
      <c r="L295" s="662">
        <v>1</v>
      </c>
      <c r="N295" s="662">
        <v>3</v>
      </c>
      <c r="O295" s="662">
        <v>3</v>
      </c>
      <c r="Q295" s="681">
        <f t="shared" si="87"/>
        <v>12</v>
      </c>
      <c r="S295" s="662">
        <v>2</v>
      </c>
      <c r="T295" s="662">
        <v>1</v>
      </c>
      <c r="U295" s="662">
        <v>1</v>
      </c>
      <c r="W295" s="683">
        <v>0</v>
      </c>
      <c r="X295" s="683">
        <v>0</v>
      </c>
      <c r="Y295" s="683">
        <v>2</v>
      </c>
      <c r="Z295" s="683">
        <v>1</v>
      </c>
      <c r="AA295" s="683">
        <v>0</v>
      </c>
      <c r="AB295" s="683">
        <v>3</v>
      </c>
      <c r="AC295" s="683">
        <v>3</v>
      </c>
      <c r="AD295" s="683">
        <v>0</v>
      </c>
      <c r="AE295" s="684">
        <f t="shared" si="100"/>
        <v>13</v>
      </c>
      <c r="AG295" s="663">
        <v>2</v>
      </c>
      <c r="AH295" s="663">
        <v>1</v>
      </c>
      <c r="AI295" s="663">
        <v>1</v>
      </c>
      <c r="AJ295" s="663">
        <v>1</v>
      </c>
      <c r="AK295" s="663">
        <v>1</v>
      </c>
      <c r="AL295" s="663">
        <v>1</v>
      </c>
      <c r="AM295" s="663">
        <v>1</v>
      </c>
      <c r="AN295" s="663">
        <v>1</v>
      </c>
      <c r="AO295" s="663">
        <v>1</v>
      </c>
      <c r="AP295" s="663">
        <v>1</v>
      </c>
      <c r="AQ295" s="663">
        <v>1</v>
      </c>
      <c r="AR295" s="663">
        <v>1</v>
      </c>
      <c r="AS295" s="685">
        <f t="shared" si="103"/>
        <v>13</v>
      </c>
      <c r="AU295" s="686">
        <f t="shared" si="88"/>
        <v>12</v>
      </c>
      <c r="AV295" s="665">
        <f t="shared" si="93"/>
        <v>13</v>
      </c>
      <c r="AW295" s="687">
        <f t="shared" si="89"/>
        <v>8.3333333333333259E-2</v>
      </c>
      <c r="AX295" s="663">
        <f t="shared" si="90"/>
        <v>13</v>
      </c>
      <c r="AY295" s="713">
        <f t="shared" si="92"/>
        <v>0</v>
      </c>
      <c r="BC295" s="688">
        <f t="shared" si="91"/>
        <v>3.5616438356164383E-2</v>
      </c>
    </row>
    <row r="296" spans="1:55" x14ac:dyDescent="0.25">
      <c r="C296" s="662" t="s">
        <v>961</v>
      </c>
      <c r="D296" s="663"/>
      <c r="E296" s="662">
        <v>9</v>
      </c>
      <c r="F296" s="662">
        <v>10</v>
      </c>
      <c r="G296" s="662">
        <v>20</v>
      </c>
      <c r="H296" s="662">
        <v>8</v>
      </c>
      <c r="I296" s="662">
        <v>9</v>
      </c>
      <c r="J296" s="662">
        <v>15</v>
      </c>
      <c r="K296" s="662">
        <v>13</v>
      </c>
      <c r="L296" s="662">
        <v>12</v>
      </c>
      <c r="M296" s="662">
        <v>13</v>
      </c>
      <c r="N296" s="662">
        <v>14</v>
      </c>
      <c r="O296" s="662">
        <v>19</v>
      </c>
      <c r="P296" s="662">
        <v>15</v>
      </c>
      <c r="Q296" s="681">
        <f t="shared" si="87"/>
        <v>157</v>
      </c>
      <c r="S296" s="662">
        <v>13</v>
      </c>
      <c r="T296" s="662">
        <v>17</v>
      </c>
      <c r="U296" s="662">
        <v>11</v>
      </c>
      <c r="V296" s="662">
        <v>12</v>
      </c>
      <c r="W296" s="683">
        <v>9</v>
      </c>
      <c r="X296" s="683">
        <v>13</v>
      </c>
      <c r="Y296" s="683">
        <v>15</v>
      </c>
      <c r="Z296" s="683">
        <v>12</v>
      </c>
      <c r="AA296" s="683">
        <v>13</v>
      </c>
      <c r="AB296" s="683">
        <v>14</v>
      </c>
      <c r="AC296" s="683">
        <v>19</v>
      </c>
      <c r="AD296" s="683">
        <v>15</v>
      </c>
      <c r="AE296" s="684">
        <f t="shared" si="100"/>
        <v>163</v>
      </c>
      <c r="AG296" s="663">
        <v>13</v>
      </c>
      <c r="AH296" s="663">
        <v>13</v>
      </c>
      <c r="AI296" s="663">
        <v>14</v>
      </c>
      <c r="AJ296" s="663">
        <v>14</v>
      </c>
      <c r="AK296" s="663">
        <v>13</v>
      </c>
      <c r="AL296" s="663">
        <v>14</v>
      </c>
      <c r="AM296" s="663">
        <v>13</v>
      </c>
      <c r="AN296" s="663">
        <v>14</v>
      </c>
      <c r="AO296" s="663">
        <v>14</v>
      </c>
      <c r="AP296" s="663">
        <v>14</v>
      </c>
      <c r="AQ296" s="663">
        <v>14</v>
      </c>
      <c r="AR296" s="663">
        <v>13</v>
      </c>
      <c r="AS296" s="685">
        <f t="shared" si="103"/>
        <v>163</v>
      </c>
      <c r="AU296" s="686">
        <f t="shared" si="88"/>
        <v>157</v>
      </c>
      <c r="AV296" s="665">
        <f t="shared" si="93"/>
        <v>163</v>
      </c>
      <c r="AW296" s="687">
        <f t="shared" si="89"/>
        <v>3.8216560509554132E-2</v>
      </c>
      <c r="AX296" s="663">
        <f t="shared" si="90"/>
        <v>163</v>
      </c>
      <c r="AY296" s="713">
        <f t="shared" si="92"/>
        <v>0</v>
      </c>
      <c r="BC296" s="688">
        <f t="shared" si="91"/>
        <v>0.44657534246575342</v>
      </c>
    </row>
    <row r="297" spans="1:55" x14ac:dyDescent="0.25">
      <c r="B297" s="662" t="s">
        <v>1144</v>
      </c>
      <c r="C297" s="662" t="s">
        <v>932</v>
      </c>
      <c r="D297" s="663"/>
      <c r="E297" s="662">
        <v>5</v>
      </c>
      <c r="F297" s="662">
        <v>6</v>
      </c>
      <c r="G297" s="662">
        <v>4</v>
      </c>
      <c r="H297" s="662">
        <v>5</v>
      </c>
      <c r="I297" s="662">
        <v>5</v>
      </c>
      <c r="J297" s="662">
        <v>6</v>
      </c>
      <c r="K297" s="662">
        <v>4</v>
      </c>
      <c r="L297" s="662">
        <v>5</v>
      </c>
      <c r="M297" s="662">
        <v>6</v>
      </c>
      <c r="N297" s="662">
        <v>11</v>
      </c>
      <c r="O297" s="662">
        <v>5</v>
      </c>
      <c r="P297" s="662">
        <v>6</v>
      </c>
      <c r="Q297" s="681">
        <f t="shared" si="87"/>
        <v>68</v>
      </c>
      <c r="S297" s="662">
        <v>6</v>
      </c>
      <c r="T297" s="662">
        <v>7</v>
      </c>
      <c r="V297" s="662">
        <v>7</v>
      </c>
      <c r="W297" s="683">
        <v>5</v>
      </c>
      <c r="X297" s="683">
        <v>6</v>
      </c>
      <c r="Y297" s="683">
        <v>4</v>
      </c>
      <c r="Z297" s="683">
        <v>5</v>
      </c>
      <c r="AA297" s="683">
        <v>6</v>
      </c>
      <c r="AB297" s="683">
        <v>11</v>
      </c>
      <c r="AC297" s="683">
        <v>5</v>
      </c>
      <c r="AD297" s="683">
        <v>6</v>
      </c>
      <c r="AE297" s="684">
        <f t="shared" si="100"/>
        <v>68</v>
      </c>
      <c r="AG297" s="663">
        <v>6</v>
      </c>
      <c r="AH297" s="663">
        <v>6</v>
      </c>
      <c r="AI297" s="663">
        <v>6</v>
      </c>
      <c r="AJ297" s="663">
        <v>6</v>
      </c>
      <c r="AK297" s="663">
        <v>6</v>
      </c>
      <c r="AL297" s="663">
        <v>5</v>
      </c>
      <c r="AM297" s="663">
        <v>5</v>
      </c>
      <c r="AN297" s="663">
        <v>5</v>
      </c>
      <c r="AO297" s="663">
        <v>5</v>
      </c>
      <c r="AP297" s="663">
        <v>6</v>
      </c>
      <c r="AQ297" s="663">
        <v>6</v>
      </c>
      <c r="AR297" s="663">
        <v>6</v>
      </c>
      <c r="AS297" s="685">
        <f t="shared" si="103"/>
        <v>68</v>
      </c>
      <c r="AU297" s="686">
        <f t="shared" si="88"/>
        <v>68</v>
      </c>
      <c r="AV297" s="665">
        <f t="shared" si="93"/>
        <v>68</v>
      </c>
      <c r="AW297" s="687">
        <f t="shared" si="89"/>
        <v>0</v>
      </c>
      <c r="AX297" s="663">
        <f t="shared" si="90"/>
        <v>68</v>
      </c>
      <c r="AY297" s="713">
        <f t="shared" si="92"/>
        <v>0</v>
      </c>
      <c r="BC297" s="688">
        <f t="shared" si="91"/>
        <v>0.18630136986301371</v>
      </c>
    </row>
    <row r="298" spans="1:55" x14ac:dyDescent="0.25">
      <c r="C298" s="662" t="s">
        <v>961</v>
      </c>
      <c r="D298" s="663"/>
      <c r="I298" s="662">
        <v>1</v>
      </c>
      <c r="N298" s="662">
        <v>1</v>
      </c>
      <c r="P298" s="662">
        <v>3</v>
      </c>
      <c r="Q298" s="681">
        <f t="shared" si="87"/>
        <v>5</v>
      </c>
      <c r="U298" s="662">
        <v>1</v>
      </c>
      <c r="V298" s="662">
        <v>1</v>
      </c>
      <c r="W298" s="683">
        <v>0</v>
      </c>
      <c r="X298" s="683">
        <v>0</v>
      </c>
      <c r="Y298" s="683">
        <v>1</v>
      </c>
      <c r="Z298" s="683">
        <v>0</v>
      </c>
      <c r="AA298" s="683">
        <v>1</v>
      </c>
      <c r="AB298" s="683">
        <v>0</v>
      </c>
      <c r="AC298" s="683">
        <v>1</v>
      </c>
      <c r="AD298" s="683">
        <v>0</v>
      </c>
      <c r="AE298" s="684">
        <f t="shared" si="100"/>
        <v>5</v>
      </c>
      <c r="AG298" s="663">
        <v>0</v>
      </c>
      <c r="AH298" s="663">
        <v>0</v>
      </c>
      <c r="AI298" s="663">
        <v>0</v>
      </c>
      <c r="AJ298" s="663">
        <v>0</v>
      </c>
      <c r="AK298" s="663">
        <v>0</v>
      </c>
      <c r="AL298" s="663">
        <v>0</v>
      </c>
      <c r="AM298" s="663">
        <v>0</v>
      </c>
      <c r="AN298" s="663">
        <v>0</v>
      </c>
      <c r="AO298" s="663">
        <v>0</v>
      </c>
      <c r="AP298" s="663">
        <v>0</v>
      </c>
      <c r="AQ298" s="663">
        <v>0</v>
      </c>
      <c r="AR298" s="663">
        <v>0</v>
      </c>
      <c r="AS298" s="685">
        <f t="shared" si="103"/>
        <v>0</v>
      </c>
      <c r="AU298" s="686">
        <f t="shared" si="88"/>
        <v>5</v>
      </c>
      <c r="AV298" s="665">
        <f t="shared" si="93"/>
        <v>5</v>
      </c>
      <c r="AW298" s="687">
        <f t="shared" si="89"/>
        <v>0</v>
      </c>
      <c r="AX298" s="663">
        <f t="shared" si="90"/>
        <v>0</v>
      </c>
      <c r="AY298" s="713">
        <f t="shared" si="92"/>
        <v>-1</v>
      </c>
      <c r="BC298" s="688">
        <f t="shared" si="91"/>
        <v>1.9178082191780823E-2</v>
      </c>
    </row>
    <row r="299" spans="1:55" x14ac:dyDescent="0.25">
      <c r="B299" s="662" t="s">
        <v>1145</v>
      </c>
      <c r="C299" s="662" t="s">
        <v>961</v>
      </c>
      <c r="D299" s="663" t="s">
        <v>1013</v>
      </c>
      <c r="Q299" s="681">
        <f t="shared" si="87"/>
        <v>0</v>
      </c>
      <c r="V299" s="662">
        <v>1</v>
      </c>
      <c r="W299" s="683">
        <v>0</v>
      </c>
      <c r="X299" s="683">
        <v>0</v>
      </c>
      <c r="Y299" s="683">
        <v>0</v>
      </c>
      <c r="Z299" s="683">
        <v>0</v>
      </c>
      <c r="AA299" s="683">
        <v>0</v>
      </c>
      <c r="AB299" s="683">
        <v>0</v>
      </c>
      <c r="AC299" s="683">
        <v>0</v>
      </c>
      <c r="AD299" s="683">
        <v>0</v>
      </c>
      <c r="AE299" s="684">
        <f t="shared" si="100"/>
        <v>1</v>
      </c>
      <c r="AG299" s="663">
        <v>6</v>
      </c>
      <c r="AH299" s="663">
        <v>6</v>
      </c>
      <c r="AI299" s="663">
        <v>6</v>
      </c>
      <c r="AJ299" s="663">
        <v>6</v>
      </c>
      <c r="AK299" s="663">
        <v>6</v>
      </c>
      <c r="AL299" s="663">
        <v>6</v>
      </c>
      <c r="AM299" s="663">
        <v>6</v>
      </c>
      <c r="AN299" s="663">
        <v>6</v>
      </c>
      <c r="AO299" s="663">
        <v>6</v>
      </c>
      <c r="AP299" s="663">
        <v>6</v>
      </c>
      <c r="AQ299" s="663">
        <v>6</v>
      </c>
      <c r="AR299" s="663">
        <v>6</v>
      </c>
      <c r="AS299" s="685">
        <f t="shared" si="103"/>
        <v>72</v>
      </c>
      <c r="AU299" s="686">
        <f t="shared" si="88"/>
        <v>0</v>
      </c>
      <c r="AV299" s="665">
        <f t="shared" si="93"/>
        <v>1</v>
      </c>
      <c r="AW299" s="687">
        <v>1</v>
      </c>
      <c r="AX299" s="663">
        <f t="shared" si="90"/>
        <v>72</v>
      </c>
      <c r="AY299" s="713">
        <f t="shared" si="92"/>
        <v>71</v>
      </c>
      <c r="BC299" s="688">
        <f t="shared" si="91"/>
        <v>2.7397260273972603E-3</v>
      </c>
    </row>
    <row r="300" spans="1:55" x14ac:dyDescent="0.25">
      <c r="B300" s="662" t="s">
        <v>1146</v>
      </c>
      <c r="C300" s="662" t="s">
        <v>932</v>
      </c>
      <c r="D300" s="663" t="s">
        <v>1147</v>
      </c>
      <c r="H300" s="662">
        <v>1</v>
      </c>
      <c r="N300" s="662">
        <v>1</v>
      </c>
      <c r="Q300" s="681">
        <f t="shared" si="87"/>
        <v>2</v>
      </c>
      <c r="W300" s="683">
        <v>0</v>
      </c>
      <c r="X300" s="683">
        <v>0</v>
      </c>
      <c r="Y300" s="683">
        <v>0</v>
      </c>
      <c r="Z300" s="683">
        <v>0</v>
      </c>
      <c r="AA300" s="683">
        <v>0</v>
      </c>
      <c r="AB300" s="683">
        <v>0</v>
      </c>
      <c r="AC300" s="683">
        <v>0</v>
      </c>
      <c r="AD300" s="683">
        <v>0</v>
      </c>
      <c r="AE300" s="684">
        <f t="shared" si="100"/>
        <v>0</v>
      </c>
      <c r="AG300" s="663">
        <v>0</v>
      </c>
      <c r="AH300" s="663">
        <v>0</v>
      </c>
      <c r="AI300" s="663">
        <v>0</v>
      </c>
      <c r="AJ300" s="663">
        <v>0</v>
      </c>
      <c r="AK300" s="663">
        <v>0</v>
      </c>
      <c r="AL300" s="663">
        <v>0</v>
      </c>
      <c r="AM300" s="663">
        <v>0</v>
      </c>
      <c r="AN300" s="663">
        <v>0</v>
      </c>
      <c r="AO300" s="663">
        <v>0</v>
      </c>
      <c r="AP300" s="663">
        <v>0</v>
      </c>
      <c r="AQ300" s="663">
        <v>0</v>
      </c>
      <c r="AR300" s="663">
        <v>0</v>
      </c>
      <c r="AS300" s="685">
        <f t="shared" si="103"/>
        <v>0</v>
      </c>
      <c r="AU300" s="686">
        <f t="shared" si="88"/>
        <v>2</v>
      </c>
      <c r="AV300" s="665">
        <f t="shared" si="93"/>
        <v>0</v>
      </c>
      <c r="AW300" s="687">
        <f t="shared" si="89"/>
        <v>-1</v>
      </c>
      <c r="AX300" s="663">
        <f t="shared" si="90"/>
        <v>0</v>
      </c>
      <c r="AY300" s="713">
        <v>0</v>
      </c>
      <c r="BC300" s="688">
        <f t="shared" si="91"/>
        <v>2.7397260273972603E-3</v>
      </c>
    </row>
    <row r="301" spans="1:55" x14ac:dyDescent="0.25">
      <c r="C301" s="662" t="s">
        <v>939</v>
      </c>
      <c r="D301" s="663" t="s">
        <v>1147</v>
      </c>
      <c r="E301" s="662">
        <v>1</v>
      </c>
      <c r="G301" s="662">
        <v>1</v>
      </c>
      <c r="H301" s="662">
        <v>1</v>
      </c>
      <c r="I301" s="662">
        <v>1</v>
      </c>
      <c r="J301" s="662">
        <v>1</v>
      </c>
      <c r="L301" s="662">
        <v>5</v>
      </c>
      <c r="N301" s="662">
        <v>1</v>
      </c>
      <c r="O301" s="662">
        <v>2</v>
      </c>
      <c r="Q301" s="681">
        <f t="shared" si="87"/>
        <v>13</v>
      </c>
      <c r="W301" s="683">
        <v>0</v>
      </c>
      <c r="X301" s="683">
        <v>0</v>
      </c>
      <c r="Y301" s="683">
        <v>0</v>
      </c>
      <c r="Z301" s="683">
        <v>0</v>
      </c>
      <c r="AA301" s="683">
        <v>0</v>
      </c>
      <c r="AB301" s="683">
        <v>0</v>
      </c>
      <c r="AC301" s="683">
        <v>0</v>
      </c>
      <c r="AD301" s="683">
        <v>0</v>
      </c>
      <c r="AE301" s="684">
        <f t="shared" si="100"/>
        <v>0</v>
      </c>
      <c r="AG301" s="663">
        <v>0</v>
      </c>
      <c r="AH301" s="663">
        <v>0</v>
      </c>
      <c r="AI301" s="663">
        <v>0</v>
      </c>
      <c r="AJ301" s="663">
        <v>0</v>
      </c>
      <c r="AK301" s="663">
        <v>0</v>
      </c>
      <c r="AL301" s="663">
        <v>0</v>
      </c>
      <c r="AM301" s="663">
        <v>0</v>
      </c>
      <c r="AN301" s="663">
        <v>0</v>
      </c>
      <c r="AO301" s="663">
        <v>0</v>
      </c>
      <c r="AP301" s="663">
        <v>0</v>
      </c>
      <c r="AQ301" s="663">
        <v>0</v>
      </c>
      <c r="AR301" s="663">
        <v>0</v>
      </c>
      <c r="AS301" s="685">
        <f t="shared" si="103"/>
        <v>0</v>
      </c>
      <c r="AU301" s="686">
        <f t="shared" si="88"/>
        <v>13</v>
      </c>
      <c r="AV301" s="665">
        <f t="shared" si="93"/>
        <v>0</v>
      </c>
      <c r="AW301" s="687">
        <f t="shared" si="89"/>
        <v>-1</v>
      </c>
      <c r="AX301" s="663">
        <f t="shared" si="90"/>
        <v>0</v>
      </c>
      <c r="AY301" s="713">
        <v>0</v>
      </c>
      <c r="BC301" s="688">
        <f t="shared" si="91"/>
        <v>2.7397260273972601E-2</v>
      </c>
    </row>
    <row r="302" spans="1:55" x14ac:dyDescent="0.25">
      <c r="C302" s="662" t="s">
        <v>961</v>
      </c>
      <c r="D302" s="663" t="s">
        <v>1147</v>
      </c>
      <c r="E302" s="662">
        <v>22</v>
      </c>
      <c r="F302" s="662">
        <v>35</v>
      </c>
      <c r="G302" s="662">
        <v>28</v>
      </c>
      <c r="H302" s="662">
        <v>31</v>
      </c>
      <c r="I302" s="662">
        <v>33</v>
      </c>
      <c r="J302" s="662">
        <v>13</v>
      </c>
      <c r="K302" s="662">
        <v>38</v>
      </c>
      <c r="L302" s="662">
        <v>19</v>
      </c>
      <c r="M302" s="662">
        <v>16</v>
      </c>
      <c r="N302" s="662">
        <v>18</v>
      </c>
      <c r="O302" s="662">
        <v>32</v>
      </c>
      <c r="P302" s="662">
        <v>31</v>
      </c>
      <c r="Q302" s="681">
        <f t="shared" si="87"/>
        <v>316</v>
      </c>
      <c r="S302" s="662">
        <v>15</v>
      </c>
      <c r="T302" s="662">
        <v>34</v>
      </c>
      <c r="U302" s="662">
        <v>35</v>
      </c>
      <c r="V302" s="662">
        <v>44</v>
      </c>
      <c r="W302" s="683">
        <v>0</v>
      </c>
      <c r="X302" s="683">
        <v>0</v>
      </c>
      <c r="Y302" s="683">
        <v>0</v>
      </c>
      <c r="Z302" s="683">
        <v>0</v>
      </c>
      <c r="AA302" s="683">
        <v>0</v>
      </c>
      <c r="AB302" s="683">
        <v>0</v>
      </c>
      <c r="AC302" s="683">
        <v>15</v>
      </c>
      <c r="AD302" s="683">
        <v>15</v>
      </c>
      <c r="AE302" s="684">
        <f t="shared" si="100"/>
        <v>158</v>
      </c>
      <c r="AG302" s="663">
        <v>36</v>
      </c>
      <c r="AH302" s="663">
        <v>36</v>
      </c>
      <c r="AI302" s="663">
        <v>36</v>
      </c>
      <c r="AJ302" s="663">
        <v>36</v>
      </c>
      <c r="AK302" s="663">
        <v>36</v>
      </c>
      <c r="AL302" s="663">
        <v>36</v>
      </c>
      <c r="AM302" s="663">
        <v>36</v>
      </c>
      <c r="AN302" s="663">
        <v>36</v>
      </c>
      <c r="AO302" s="663">
        <v>36</v>
      </c>
      <c r="AP302" s="663">
        <v>36</v>
      </c>
      <c r="AQ302" s="663">
        <v>36</v>
      </c>
      <c r="AR302" s="663">
        <v>36</v>
      </c>
      <c r="AS302" s="685">
        <f t="shared" si="103"/>
        <v>432</v>
      </c>
      <c r="AU302" s="686">
        <f t="shared" si="88"/>
        <v>316</v>
      </c>
      <c r="AV302" s="665">
        <f t="shared" si="93"/>
        <v>158</v>
      </c>
      <c r="AW302" s="687">
        <f t="shared" si="89"/>
        <v>-0.5</v>
      </c>
      <c r="AX302" s="663">
        <f t="shared" si="90"/>
        <v>432</v>
      </c>
      <c r="AY302" s="713">
        <f t="shared" si="92"/>
        <v>1.7341772151898733</v>
      </c>
      <c r="BC302" s="688">
        <f t="shared" si="91"/>
        <v>0.89863013698630134</v>
      </c>
    </row>
    <row r="303" spans="1:55" x14ac:dyDescent="0.25">
      <c r="C303" s="662" t="s">
        <v>1059</v>
      </c>
      <c r="D303" s="663" t="s">
        <v>1147</v>
      </c>
      <c r="E303" s="662">
        <v>8</v>
      </c>
      <c r="F303" s="662">
        <v>10</v>
      </c>
      <c r="G303" s="662">
        <v>14</v>
      </c>
      <c r="H303" s="662">
        <v>12</v>
      </c>
      <c r="I303" s="662">
        <v>7</v>
      </c>
      <c r="J303" s="662">
        <v>4</v>
      </c>
      <c r="K303" s="662">
        <v>9</v>
      </c>
      <c r="L303" s="662">
        <v>10</v>
      </c>
      <c r="M303" s="662">
        <v>4</v>
      </c>
      <c r="N303" s="662">
        <v>19</v>
      </c>
      <c r="O303" s="662">
        <v>7</v>
      </c>
      <c r="P303" s="662">
        <v>13</v>
      </c>
      <c r="Q303" s="681">
        <f t="shared" si="87"/>
        <v>117</v>
      </c>
      <c r="W303" s="683">
        <v>0</v>
      </c>
      <c r="X303" s="683">
        <v>0</v>
      </c>
      <c r="Y303" s="683">
        <v>0</v>
      </c>
      <c r="Z303" s="683">
        <v>0</v>
      </c>
      <c r="AA303" s="683">
        <v>0</v>
      </c>
      <c r="AB303" s="683">
        <v>0</v>
      </c>
      <c r="AC303" s="683">
        <v>0</v>
      </c>
      <c r="AD303" s="683">
        <v>0</v>
      </c>
      <c r="AE303" s="684">
        <f t="shared" si="100"/>
        <v>0</v>
      </c>
      <c r="AG303" s="663">
        <v>0</v>
      </c>
      <c r="AH303" s="663">
        <v>0</v>
      </c>
      <c r="AI303" s="663">
        <v>0</v>
      </c>
      <c r="AJ303" s="663">
        <v>0</v>
      </c>
      <c r="AK303" s="663">
        <v>0</v>
      </c>
      <c r="AL303" s="663">
        <v>0</v>
      </c>
      <c r="AM303" s="663">
        <v>0</v>
      </c>
      <c r="AN303" s="663">
        <v>0</v>
      </c>
      <c r="AO303" s="663">
        <v>0</v>
      </c>
      <c r="AP303" s="663">
        <v>0</v>
      </c>
      <c r="AQ303" s="663">
        <v>0</v>
      </c>
      <c r="AR303" s="663">
        <v>0</v>
      </c>
      <c r="AS303" s="685">
        <f t="shared" si="103"/>
        <v>0</v>
      </c>
      <c r="AU303" s="686">
        <f t="shared" si="88"/>
        <v>117</v>
      </c>
      <c r="AV303" s="665">
        <f t="shared" si="93"/>
        <v>0</v>
      </c>
      <c r="AW303" s="687">
        <f t="shared" si="89"/>
        <v>-1</v>
      </c>
      <c r="AX303" s="663">
        <f t="shared" si="90"/>
        <v>0</v>
      </c>
      <c r="AY303" s="713">
        <v>0</v>
      </c>
      <c r="BC303" s="688">
        <f t="shared" si="91"/>
        <v>0.2</v>
      </c>
    </row>
    <row r="304" spans="1:55" x14ac:dyDescent="0.25">
      <c r="B304" s="662" t="s">
        <v>1148</v>
      </c>
      <c r="C304" s="662" t="s">
        <v>961</v>
      </c>
      <c r="D304" s="663"/>
      <c r="E304" s="662">
        <v>1</v>
      </c>
      <c r="F304" s="662">
        <v>5</v>
      </c>
      <c r="G304" s="662">
        <v>6</v>
      </c>
      <c r="H304" s="662">
        <v>4</v>
      </c>
      <c r="I304" s="662">
        <v>3</v>
      </c>
      <c r="J304" s="662">
        <v>2</v>
      </c>
      <c r="K304" s="662">
        <v>4</v>
      </c>
      <c r="L304" s="662">
        <v>3</v>
      </c>
      <c r="M304" s="662">
        <v>6</v>
      </c>
      <c r="N304" s="662">
        <v>3</v>
      </c>
      <c r="O304" s="662">
        <v>2</v>
      </c>
      <c r="P304" s="662">
        <v>2</v>
      </c>
      <c r="Q304" s="681">
        <f t="shared" si="87"/>
        <v>41</v>
      </c>
      <c r="W304" s="683">
        <v>0</v>
      </c>
      <c r="X304" s="683">
        <v>0</v>
      </c>
      <c r="Y304" s="683">
        <v>0</v>
      </c>
      <c r="Z304" s="683">
        <v>0</v>
      </c>
      <c r="AA304" s="683">
        <v>0</v>
      </c>
      <c r="AB304" s="683">
        <v>0</v>
      </c>
      <c r="AC304" s="683">
        <v>0</v>
      </c>
      <c r="AD304" s="683">
        <v>0</v>
      </c>
      <c r="AE304" s="684">
        <f t="shared" si="100"/>
        <v>0</v>
      </c>
      <c r="AG304" s="663">
        <v>0</v>
      </c>
      <c r="AH304" s="663">
        <v>0</v>
      </c>
      <c r="AI304" s="663">
        <v>0</v>
      </c>
      <c r="AJ304" s="663">
        <v>0</v>
      </c>
      <c r="AK304" s="663">
        <v>0</v>
      </c>
      <c r="AL304" s="663">
        <v>0</v>
      </c>
      <c r="AM304" s="663">
        <v>0</v>
      </c>
      <c r="AN304" s="663">
        <v>0</v>
      </c>
      <c r="AO304" s="663">
        <v>0</v>
      </c>
      <c r="AP304" s="663">
        <v>0</v>
      </c>
      <c r="AQ304" s="663">
        <v>0</v>
      </c>
      <c r="AR304" s="663">
        <v>0</v>
      </c>
      <c r="AS304" s="685">
        <f t="shared" si="103"/>
        <v>0</v>
      </c>
      <c r="AU304" s="686">
        <f t="shared" si="88"/>
        <v>41</v>
      </c>
      <c r="AV304" s="665">
        <f t="shared" si="93"/>
        <v>0</v>
      </c>
      <c r="AW304" s="687">
        <f t="shared" si="89"/>
        <v>-1</v>
      </c>
      <c r="AX304" s="663">
        <f t="shared" si="90"/>
        <v>0</v>
      </c>
      <c r="AY304" s="713">
        <v>0</v>
      </c>
      <c r="BC304" s="688">
        <f t="shared" si="91"/>
        <v>6.8493150684931503E-2</v>
      </c>
    </row>
    <row r="305" spans="1:55" x14ac:dyDescent="0.25">
      <c r="B305" s="662" t="s">
        <v>1149</v>
      </c>
      <c r="C305" s="662" t="s">
        <v>932</v>
      </c>
      <c r="D305" s="663"/>
      <c r="N305" s="662">
        <v>1</v>
      </c>
      <c r="Q305" s="681">
        <f t="shared" si="87"/>
        <v>1</v>
      </c>
      <c r="S305" s="662">
        <v>1</v>
      </c>
      <c r="W305" s="683">
        <v>0</v>
      </c>
      <c r="X305" s="683">
        <v>0</v>
      </c>
      <c r="Y305" s="683">
        <v>0</v>
      </c>
      <c r="Z305" s="683">
        <v>0</v>
      </c>
      <c r="AA305" s="683">
        <v>0</v>
      </c>
      <c r="AB305" s="683">
        <v>0</v>
      </c>
      <c r="AC305" s="683">
        <v>0</v>
      </c>
      <c r="AD305" s="683">
        <v>0</v>
      </c>
      <c r="AE305" s="684">
        <f t="shared" si="100"/>
        <v>1</v>
      </c>
      <c r="AG305" s="663">
        <v>0</v>
      </c>
      <c r="AH305" s="663">
        <v>0</v>
      </c>
      <c r="AI305" s="663">
        <v>0</v>
      </c>
      <c r="AJ305" s="663">
        <v>0</v>
      </c>
      <c r="AK305" s="663">
        <v>0</v>
      </c>
      <c r="AL305" s="663">
        <v>0</v>
      </c>
      <c r="AM305" s="663">
        <v>0</v>
      </c>
      <c r="AN305" s="663">
        <v>0</v>
      </c>
      <c r="AO305" s="663">
        <v>0</v>
      </c>
      <c r="AP305" s="663">
        <v>0</v>
      </c>
      <c r="AQ305" s="663">
        <v>0</v>
      </c>
      <c r="AR305" s="663">
        <v>0</v>
      </c>
      <c r="AS305" s="685">
        <f t="shared" si="103"/>
        <v>0</v>
      </c>
      <c r="AU305" s="686">
        <f t="shared" si="88"/>
        <v>1</v>
      </c>
      <c r="AV305" s="665">
        <f t="shared" si="93"/>
        <v>1</v>
      </c>
      <c r="AW305" s="687">
        <f t="shared" si="89"/>
        <v>0</v>
      </c>
      <c r="AX305" s="663">
        <f t="shared" si="90"/>
        <v>0</v>
      </c>
      <c r="AY305" s="713">
        <f t="shared" si="92"/>
        <v>-1</v>
      </c>
      <c r="BC305" s="688">
        <f t="shared" si="91"/>
        <v>5.4794520547945206E-3</v>
      </c>
    </row>
    <row r="306" spans="1:55" x14ac:dyDescent="0.25">
      <c r="C306" s="662" t="s">
        <v>939</v>
      </c>
      <c r="D306" s="663"/>
      <c r="E306" s="662">
        <v>2</v>
      </c>
      <c r="H306" s="662">
        <v>2</v>
      </c>
      <c r="J306" s="662">
        <v>1</v>
      </c>
      <c r="K306" s="662">
        <v>1</v>
      </c>
      <c r="L306" s="662">
        <v>1</v>
      </c>
      <c r="N306" s="662">
        <v>1</v>
      </c>
      <c r="O306" s="662">
        <v>1</v>
      </c>
      <c r="P306" s="662">
        <v>1</v>
      </c>
      <c r="Q306" s="681">
        <f t="shared" si="87"/>
        <v>10</v>
      </c>
      <c r="S306" s="662">
        <v>1</v>
      </c>
      <c r="W306" s="683">
        <v>0</v>
      </c>
      <c r="X306" s="683">
        <v>0</v>
      </c>
      <c r="Y306" s="683">
        <v>0</v>
      </c>
      <c r="Z306" s="683">
        <v>0</v>
      </c>
      <c r="AA306" s="683">
        <v>0</v>
      </c>
      <c r="AB306" s="683">
        <v>0</v>
      </c>
      <c r="AC306" s="683">
        <v>0</v>
      </c>
      <c r="AD306" s="683">
        <v>0</v>
      </c>
      <c r="AE306" s="684">
        <f t="shared" si="100"/>
        <v>1</v>
      </c>
      <c r="AG306" s="663">
        <v>0</v>
      </c>
      <c r="AH306" s="663">
        <v>0</v>
      </c>
      <c r="AI306" s="663">
        <v>0</v>
      </c>
      <c r="AJ306" s="663">
        <v>0</v>
      </c>
      <c r="AK306" s="663">
        <v>0</v>
      </c>
      <c r="AL306" s="663">
        <v>0</v>
      </c>
      <c r="AM306" s="663">
        <v>0</v>
      </c>
      <c r="AN306" s="663">
        <v>0</v>
      </c>
      <c r="AO306" s="663">
        <v>0</v>
      </c>
      <c r="AP306" s="663">
        <v>0</v>
      </c>
      <c r="AQ306" s="663">
        <v>0</v>
      </c>
      <c r="AR306" s="663">
        <v>0</v>
      </c>
      <c r="AS306" s="685">
        <f t="shared" si="103"/>
        <v>0</v>
      </c>
      <c r="AU306" s="686">
        <f t="shared" si="88"/>
        <v>10</v>
      </c>
      <c r="AV306" s="665">
        <f t="shared" si="93"/>
        <v>1</v>
      </c>
      <c r="AW306" s="687">
        <f t="shared" si="89"/>
        <v>-0.9</v>
      </c>
      <c r="AX306" s="663">
        <f t="shared" si="90"/>
        <v>0</v>
      </c>
      <c r="AY306" s="713">
        <f t="shared" si="92"/>
        <v>-1</v>
      </c>
      <c r="BC306" s="688">
        <f t="shared" si="91"/>
        <v>1.9178082191780823E-2</v>
      </c>
    </row>
    <row r="307" spans="1:55" x14ac:dyDescent="0.25">
      <c r="C307" s="662" t="s">
        <v>961</v>
      </c>
      <c r="D307" s="663"/>
      <c r="E307" s="662">
        <v>3</v>
      </c>
      <c r="F307" s="662">
        <v>3</v>
      </c>
      <c r="G307" s="662">
        <v>3</v>
      </c>
      <c r="H307" s="662">
        <v>2</v>
      </c>
      <c r="I307" s="662">
        <v>1</v>
      </c>
      <c r="J307" s="662">
        <v>2</v>
      </c>
      <c r="Q307" s="681">
        <f t="shared" si="87"/>
        <v>14</v>
      </c>
      <c r="W307" s="683">
        <v>0</v>
      </c>
      <c r="X307" s="683">
        <v>0</v>
      </c>
      <c r="Y307" s="683">
        <v>0</v>
      </c>
      <c r="Z307" s="683">
        <v>0</v>
      </c>
      <c r="AA307" s="683">
        <v>0</v>
      </c>
      <c r="AB307" s="683">
        <v>0</v>
      </c>
      <c r="AC307" s="683">
        <v>0</v>
      </c>
      <c r="AD307" s="683">
        <v>0</v>
      </c>
      <c r="AE307" s="684">
        <f t="shared" si="100"/>
        <v>0</v>
      </c>
      <c r="AG307" s="663">
        <v>0</v>
      </c>
      <c r="AH307" s="663">
        <v>0</v>
      </c>
      <c r="AI307" s="663">
        <v>0</v>
      </c>
      <c r="AJ307" s="663">
        <v>0</v>
      </c>
      <c r="AK307" s="663">
        <v>0</v>
      </c>
      <c r="AL307" s="663">
        <v>0</v>
      </c>
      <c r="AM307" s="663">
        <v>0</v>
      </c>
      <c r="AN307" s="663">
        <v>0</v>
      </c>
      <c r="AO307" s="663">
        <v>0</v>
      </c>
      <c r="AP307" s="663">
        <v>0</v>
      </c>
      <c r="AQ307" s="663">
        <v>0</v>
      </c>
      <c r="AR307" s="663">
        <v>0</v>
      </c>
      <c r="AS307" s="685">
        <f t="shared" si="103"/>
        <v>0</v>
      </c>
      <c r="AU307" s="686">
        <f t="shared" si="88"/>
        <v>14</v>
      </c>
      <c r="AV307" s="665">
        <f t="shared" si="93"/>
        <v>0</v>
      </c>
      <c r="AW307" s="687">
        <f t="shared" si="89"/>
        <v>-1</v>
      </c>
      <c r="AX307" s="663">
        <f t="shared" si="90"/>
        <v>0</v>
      </c>
      <c r="AY307" s="713">
        <v>0</v>
      </c>
      <c r="BC307" s="688">
        <f t="shared" si="91"/>
        <v>8.21917808219178E-3</v>
      </c>
    </row>
    <row r="308" spans="1:55" x14ac:dyDescent="0.25">
      <c r="B308" s="662" t="s">
        <v>1150</v>
      </c>
      <c r="C308" s="662" t="s">
        <v>932</v>
      </c>
      <c r="D308" s="663"/>
      <c r="K308" s="662">
        <v>1</v>
      </c>
      <c r="O308" s="662">
        <v>1</v>
      </c>
      <c r="Q308" s="681">
        <f t="shared" si="87"/>
        <v>2</v>
      </c>
      <c r="W308" s="683">
        <v>0</v>
      </c>
      <c r="X308" s="683">
        <v>0</v>
      </c>
      <c r="Y308" s="683">
        <v>0</v>
      </c>
      <c r="Z308" s="683">
        <v>0</v>
      </c>
      <c r="AA308" s="683">
        <v>0</v>
      </c>
      <c r="AB308" s="683">
        <v>0</v>
      </c>
      <c r="AC308" s="683">
        <v>0</v>
      </c>
      <c r="AD308" s="683">
        <v>0</v>
      </c>
      <c r="AE308" s="684">
        <f t="shared" si="100"/>
        <v>0</v>
      </c>
      <c r="AG308" s="663">
        <v>0</v>
      </c>
      <c r="AH308" s="663">
        <v>0</v>
      </c>
      <c r="AI308" s="663">
        <v>0</v>
      </c>
      <c r="AJ308" s="663">
        <v>0</v>
      </c>
      <c r="AK308" s="663">
        <v>0</v>
      </c>
      <c r="AL308" s="663">
        <v>0</v>
      </c>
      <c r="AM308" s="663">
        <v>0</v>
      </c>
      <c r="AN308" s="663">
        <v>0</v>
      </c>
      <c r="AO308" s="663">
        <v>0</v>
      </c>
      <c r="AP308" s="663">
        <v>0</v>
      </c>
      <c r="AQ308" s="663">
        <v>0</v>
      </c>
      <c r="AR308" s="663">
        <v>0</v>
      </c>
      <c r="AS308" s="685">
        <f t="shared" si="103"/>
        <v>0</v>
      </c>
      <c r="AU308" s="686">
        <f t="shared" si="88"/>
        <v>2</v>
      </c>
      <c r="AV308" s="665">
        <f t="shared" si="93"/>
        <v>0</v>
      </c>
      <c r="AW308" s="687">
        <f t="shared" si="89"/>
        <v>-1</v>
      </c>
      <c r="AX308" s="663">
        <f t="shared" si="90"/>
        <v>0</v>
      </c>
      <c r="AY308" s="713">
        <v>0</v>
      </c>
      <c r="BC308" s="688">
        <f t="shared" si="91"/>
        <v>5.4794520547945206E-3</v>
      </c>
    </row>
    <row r="309" spans="1:55" x14ac:dyDescent="0.25">
      <c r="C309" s="662" t="s">
        <v>939</v>
      </c>
      <c r="D309" s="663"/>
      <c r="N309" s="662">
        <v>2</v>
      </c>
      <c r="O309" s="662">
        <v>1</v>
      </c>
      <c r="Q309" s="681">
        <f t="shared" si="87"/>
        <v>3</v>
      </c>
      <c r="W309" s="683">
        <v>0</v>
      </c>
      <c r="X309" s="683">
        <v>0</v>
      </c>
      <c r="Y309" s="683">
        <v>0</v>
      </c>
      <c r="Z309" s="683">
        <v>0</v>
      </c>
      <c r="AA309" s="683">
        <v>0</v>
      </c>
      <c r="AB309" s="683">
        <v>0</v>
      </c>
      <c r="AC309" s="683">
        <v>0</v>
      </c>
      <c r="AD309" s="683">
        <v>0</v>
      </c>
      <c r="AE309" s="684">
        <f t="shared" si="100"/>
        <v>0</v>
      </c>
      <c r="AG309" s="663">
        <v>0</v>
      </c>
      <c r="AH309" s="663">
        <v>0</v>
      </c>
      <c r="AI309" s="663">
        <v>0</v>
      </c>
      <c r="AJ309" s="663">
        <v>0</v>
      </c>
      <c r="AK309" s="663">
        <v>0</v>
      </c>
      <c r="AL309" s="663">
        <v>0</v>
      </c>
      <c r="AM309" s="663">
        <v>0</v>
      </c>
      <c r="AN309" s="663">
        <v>0</v>
      </c>
      <c r="AO309" s="663">
        <v>0</v>
      </c>
      <c r="AP309" s="663">
        <v>0</v>
      </c>
      <c r="AQ309" s="663">
        <v>0</v>
      </c>
      <c r="AR309" s="663">
        <v>0</v>
      </c>
      <c r="AS309" s="685">
        <f t="shared" si="103"/>
        <v>0</v>
      </c>
      <c r="AU309" s="686">
        <f t="shared" si="88"/>
        <v>3</v>
      </c>
      <c r="AV309" s="665">
        <f t="shared" si="93"/>
        <v>0</v>
      </c>
      <c r="AW309" s="687">
        <f t="shared" si="89"/>
        <v>-1</v>
      </c>
      <c r="AX309" s="663">
        <f t="shared" si="90"/>
        <v>0</v>
      </c>
      <c r="AY309" s="713">
        <v>0</v>
      </c>
      <c r="BC309" s="688">
        <f t="shared" si="91"/>
        <v>8.21917808219178E-3</v>
      </c>
    </row>
    <row r="310" spans="1:55" x14ac:dyDescent="0.25">
      <c r="C310" s="662" t="s">
        <v>961</v>
      </c>
      <c r="D310" s="663"/>
      <c r="E310" s="662">
        <v>11</v>
      </c>
      <c r="F310" s="662">
        <v>12</v>
      </c>
      <c r="G310" s="662">
        <v>10</v>
      </c>
      <c r="H310" s="662">
        <v>10</v>
      </c>
      <c r="I310" s="662">
        <v>5</v>
      </c>
      <c r="J310" s="662">
        <v>2</v>
      </c>
      <c r="K310" s="662">
        <v>12</v>
      </c>
      <c r="L310" s="662">
        <v>6</v>
      </c>
      <c r="M310" s="662">
        <v>13</v>
      </c>
      <c r="N310" s="662">
        <v>19</v>
      </c>
      <c r="O310" s="662">
        <v>8</v>
      </c>
      <c r="P310" s="662">
        <v>15</v>
      </c>
      <c r="Q310" s="681">
        <f t="shared" si="87"/>
        <v>123</v>
      </c>
      <c r="S310" s="662">
        <v>11</v>
      </c>
      <c r="T310" s="662">
        <v>11</v>
      </c>
      <c r="V310" s="662">
        <v>11</v>
      </c>
      <c r="W310" s="683">
        <v>5</v>
      </c>
      <c r="X310" s="683">
        <v>2</v>
      </c>
      <c r="Y310" s="683">
        <v>12</v>
      </c>
      <c r="Z310" s="683">
        <v>6</v>
      </c>
      <c r="AA310" s="683">
        <v>13</v>
      </c>
      <c r="AB310" s="683">
        <v>19</v>
      </c>
      <c r="AC310" s="683">
        <v>8</v>
      </c>
      <c r="AD310" s="683">
        <v>15</v>
      </c>
      <c r="AE310" s="684">
        <f t="shared" si="100"/>
        <v>113</v>
      </c>
      <c r="AG310" s="663">
        <v>9</v>
      </c>
      <c r="AH310" s="663">
        <v>9</v>
      </c>
      <c r="AI310" s="663">
        <v>9</v>
      </c>
      <c r="AJ310" s="663">
        <v>9</v>
      </c>
      <c r="AK310" s="663">
        <v>9</v>
      </c>
      <c r="AL310" s="663">
        <v>9</v>
      </c>
      <c r="AM310" s="663">
        <v>10</v>
      </c>
      <c r="AN310" s="663">
        <v>10</v>
      </c>
      <c r="AO310" s="663">
        <v>10</v>
      </c>
      <c r="AP310" s="663">
        <v>10</v>
      </c>
      <c r="AQ310" s="663">
        <v>10</v>
      </c>
      <c r="AR310" s="663">
        <v>9</v>
      </c>
      <c r="AS310" s="685">
        <f t="shared" si="103"/>
        <v>113</v>
      </c>
      <c r="AU310" s="686">
        <f t="shared" si="88"/>
        <v>123</v>
      </c>
      <c r="AV310" s="665">
        <f t="shared" si="93"/>
        <v>113</v>
      </c>
      <c r="AW310" s="687">
        <f t="shared" si="89"/>
        <v>-8.1300813008130079E-2</v>
      </c>
      <c r="AX310" s="663">
        <f t="shared" si="90"/>
        <v>113</v>
      </c>
      <c r="AY310" s="713">
        <f t="shared" si="92"/>
        <v>0</v>
      </c>
      <c r="BC310" s="688">
        <f t="shared" si="91"/>
        <v>0.30958904109589042</v>
      </c>
    </row>
    <row r="311" spans="1:55" x14ac:dyDescent="0.25">
      <c r="C311" s="662" t="s">
        <v>1059</v>
      </c>
      <c r="D311" s="663"/>
      <c r="L311" s="662">
        <v>1</v>
      </c>
      <c r="Q311" s="681">
        <f t="shared" si="87"/>
        <v>1</v>
      </c>
      <c r="W311" s="683">
        <v>0</v>
      </c>
      <c r="X311" s="683">
        <v>0</v>
      </c>
      <c r="Y311" s="683">
        <v>0</v>
      </c>
      <c r="Z311" s="683">
        <v>0</v>
      </c>
      <c r="AA311" s="683">
        <v>0</v>
      </c>
      <c r="AB311" s="683">
        <v>0</v>
      </c>
      <c r="AC311" s="683">
        <v>0</v>
      </c>
      <c r="AD311" s="683">
        <v>0</v>
      </c>
      <c r="AE311" s="684">
        <f t="shared" si="100"/>
        <v>0</v>
      </c>
      <c r="AG311" s="663">
        <v>0</v>
      </c>
      <c r="AH311" s="663">
        <v>0</v>
      </c>
      <c r="AI311" s="663">
        <v>0</v>
      </c>
      <c r="AJ311" s="663">
        <v>0</v>
      </c>
      <c r="AK311" s="663">
        <v>0</v>
      </c>
      <c r="AL311" s="663">
        <v>0</v>
      </c>
      <c r="AM311" s="663">
        <v>0</v>
      </c>
      <c r="AN311" s="663">
        <v>0</v>
      </c>
      <c r="AO311" s="663">
        <v>0</v>
      </c>
      <c r="AP311" s="663">
        <v>0</v>
      </c>
      <c r="AQ311" s="663">
        <v>0</v>
      </c>
      <c r="AR311" s="663">
        <v>0</v>
      </c>
      <c r="AS311" s="685">
        <f t="shared" si="103"/>
        <v>0</v>
      </c>
      <c r="AU311" s="686">
        <f t="shared" si="88"/>
        <v>1</v>
      </c>
      <c r="AV311" s="665">
        <f t="shared" si="93"/>
        <v>0</v>
      </c>
      <c r="AW311" s="687">
        <f t="shared" si="89"/>
        <v>-1</v>
      </c>
      <c r="AX311" s="663">
        <f t="shared" si="90"/>
        <v>0</v>
      </c>
      <c r="AY311" s="713">
        <v>0</v>
      </c>
      <c r="BC311" s="688">
        <f t="shared" si="91"/>
        <v>2.7397260273972603E-3</v>
      </c>
    </row>
    <row r="312" spans="1:55" x14ac:dyDescent="0.25">
      <c r="A312" s="693" t="s">
        <v>1151</v>
      </c>
      <c r="B312" s="693"/>
      <c r="C312" s="693"/>
      <c r="D312" s="694"/>
      <c r="E312" s="693">
        <v>130</v>
      </c>
      <c r="F312" s="693">
        <v>160</v>
      </c>
      <c r="G312" s="693">
        <v>160</v>
      </c>
      <c r="H312" s="693">
        <v>169</v>
      </c>
      <c r="I312" s="693">
        <v>140</v>
      </c>
      <c r="J312" s="693">
        <v>111</v>
      </c>
      <c r="K312" s="693">
        <v>157</v>
      </c>
      <c r="L312" s="693">
        <v>136</v>
      </c>
      <c r="M312" s="693">
        <v>134</v>
      </c>
      <c r="N312" s="693">
        <v>192</v>
      </c>
      <c r="O312" s="693">
        <v>164</v>
      </c>
      <c r="P312" s="693">
        <v>152</v>
      </c>
      <c r="Q312" s="695">
        <f t="shared" si="87"/>
        <v>1805</v>
      </c>
      <c r="R312" s="695"/>
      <c r="S312" s="693">
        <v>137</v>
      </c>
      <c r="T312" s="693">
        <v>162</v>
      </c>
      <c r="U312" s="693">
        <v>132</v>
      </c>
      <c r="V312" s="693">
        <v>176</v>
      </c>
      <c r="W312" s="696">
        <f>SUM(W280:W311)</f>
        <v>83.61643835616438</v>
      </c>
      <c r="X312" s="696">
        <f t="shared" ref="X312:AD312" si="104">SUM(X280:X311)</f>
        <v>85.605479452054794</v>
      </c>
      <c r="Y312" s="696">
        <f t="shared" si="104"/>
        <v>108.84109589041095</v>
      </c>
      <c r="Z312" s="696">
        <f t="shared" si="104"/>
        <v>142.06301369863013</v>
      </c>
      <c r="AA312" s="696">
        <f t="shared" si="104"/>
        <v>154.84109589041094</v>
      </c>
      <c r="AB312" s="696">
        <f t="shared" si="104"/>
        <v>169.6849315068493</v>
      </c>
      <c r="AC312" s="696">
        <f t="shared" si="104"/>
        <v>172.84109589041094</v>
      </c>
      <c r="AD312" s="696">
        <f t="shared" si="104"/>
        <v>171.6849315068493</v>
      </c>
      <c r="AE312" s="697">
        <f t="shared" si="100"/>
        <v>1696.178082191781</v>
      </c>
      <c r="AF312" s="694"/>
      <c r="AG312" s="694">
        <f t="shared" ref="AG312:AR312" si="105">SUM(AG280:AG311)</f>
        <v>167</v>
      </c>
      <c r="AH312" s="694">
        <f t="shared" si="105"/>
        <v>165</v>
      </c>
      <c r="AI312" s="694">
        <f t="shared" si="105"/>
        <v>166</v>
      </c>
      <c r="AJ312" s="694">
        <f t="shared" si="105"/>
        <v>166</v>
      </c>
      <c r="AK312" s="694">
        <f t="shared" si="105"/>
        <v>166</v>
      </c>
      <c r="AL312" s="694">
        <f t="shared" si="105"/>
        <v>164</v>
      </c>
      <c r="AM312" s="694">
        <f t="shared" si="105"/>
        <v>166</v>
      </c>
      <c r="AN312" s="694">
        <f t="shared" si="105"/>
        <v>166</v>
      </c>
      <c r="AO312" s="694">
        <f t="shared" si="105"/>
        <v>166</v>
      </c>
      <c r="AP312" s="694">
        <f t="shared" si="105"/>
        <v>167</v>
      </c>
      <c r="AQ312" s="694">
        <f t="shared" si="105"/>
        <v>166</v>
      </c>
      <c r="AR312" s="694">
        <f t="shared" si="105"/>
        <v>166</v>
      </c>
      <c r="AS312" s="694">
        <f>SUM(AS280:AS311)</f>
        <v>1991</v>
      </c>
      <c r="AT312" s="694"/>
      <c r="AU312" s="697">
        <f t="shared" si="88"/>
        <v>1805</v>
      </c>
      <c r="AV312" s="697">
        <f t="shared" si="93"/>
        <v>1696.178082191781</v>
      </c>
      <c r="AW312" s="698">
        <f t="shared" si="89"/>
        <v>-6.0289151140287545E-2</v>
      </c>
      <c r="AX312" s="694">
        <f t="shared" si="90"/>
        <v>1991</v>
      </c>
      <c r="AY312" s="698">
        <f t="shared" si="92"/>
        <v>0.17381542710848708</v>
      </c>
      <c r="AZ312" s="698"/>
      <c r="BA312" s="698"/>
      <c r="BC312" s="688">
        <f t="shared" si="91"/>
        <v>4.912328767123288</v>
      </c>
    </row>
    <row r="313" spans="1:55" x14ac:dyDescent="0.25">
      <c r="A313" s="664" t="s">
        <v>1152</v>
      </c>
      <c r="B313" s="662" t="s">
        <v>1153</v>
      </c>
      <c r="C313" s="662" t="s">
        <v>932</v>
      </c>
      <c r="D313" s="663"/>
      <c r="Q313" s="681">
        <f t="shared" si="87"/>
        <v>0</v>
      </c>
      <c r="U313" s="662">
        <v>1</v>
      </c>
      <c r="W313" s="683">
        <v>0</v>
      </c>
      <c r="X313" s="683">
        <v>0</v>
      </c>
      <c r="Y313" s="683">
        <v>0</v>
      </c>
      <c r="Z313" s="683">
        <v>0</v>
      </c>
      <c r="AA313" s="683">
        <v>0</v>
      </c>
      <c r="AB313" s="683">
        <v>0</v>
      </c>
      <c r="AC313" s="683">
        <v>0</v>
      </c>
      <c r="AD313" s="683">
        <v>0</v>
      </c>
      <c r="AE313" s="684">
        <f t="shared" si="100"/>
        <v>1</v>
      </c>
      <c r="AG313" s="663">
        <v>0</v>
      </c>
      <c r="AH313" s="663">
        <v>0</v>
      </c>
      <c r="AI313" s="663">
        <v>0</v>
      </c>
      <c r="AJ313" s="663">
        <v>0</v>
      </c>
      <c r="AK313" s="663">
        <v>0</v>
      </c>
      <c r="AL313" s="663">
        <v>0</v>
      </c>
      <c r="AM313" s="663">
        <v>0</v>
      </c>
      <c r="AN313" s="663">
        <v>0</v>
      </c>
      <c r="AO313" s="663">
        <v>0</v>
      </c>
      <c r="AP313" s="663">
        <v>0</v>
      </c>
      <c r="AQ313" s="663">
        <v>0</v>
      </c>
      <c r="AR313" s="663">
        <v>0</v>
      </c>
      <c r="AS313" s="685">
        <f t="shared" ref="AS313" si="106">SUM(AG313:AR313)</f>
        <v>0</v>
      </c>
      <c r="AU313" s="686">
        <f t="shared" si="88"/>
        <v>0</v>
      </c>
      <c r="AV313" s="665">
        <f t="shared" si="93"/>
        <v>1</v>
      </c>
      <c r="AW313" s="687">
        <v>1</v>
      </c>
      <c r="AX313" s="663">
        <f t="shared" si="90"/>
        <v>0</v>
      </c>
      <c r="AY313" s="713">
        <f t="shared" si="92"/>
        <v>-1</v>
      </c>
      <c r="BC313" s="688">
        <f t="shared" si="91"/>
        <v>2.7397260273972603E-3</v>
      </c>
    </row>
    <row r="314" spans="1:55" x14ac:dyDescent="0.25">
      <c r="A314" s="693" t="s">
        <v>1154</v>
      </c>
      <c r="B314" s="693"/>
      <c r="C314" s="693"/>
      <c r="D314" s="694"/>
      <c r="E314" s="693"/>
      <c r="F314" s="693"/>
      <c r="G314" s="693"/>
      <c r="H314" s="693"/>
      <c r="I314" s="693"/>
      <c r="J314" s="693"/>
      <c r="K314" s="693"/>
      <c r="L314" s="693"/>
      <c r="M314" s="693"/>
      <c r="N314" s="693"/>
      <c r="O314" s="693"/>
      <c r="P314" s="693"/>
      <c r="Q314" s="695">
        <f t="shared" si="87"/>
        <v>0</v>
      </c>
      <c r="R314" s="695"/>
      <c r="S314" s="693"/>
      <c r="T314" s="693"/>
      <c r="U314" s="693">
        <v>1</v>
      </c>
      <c r="V314" s="693"/>
      <c r="W314" s="696">
        <f>W313</f>
        <v>0</v>
      </c>
      <c r="X314" s="696">
        <f t="shared" ref="X314:AD314" si="107">X313</f>
        <v>0</v>
      </c>
      <c r="Y314" s="696">
        <f t="shared" si="107"/>
        <v>0</v>
      </c>
      <c r="Z314" s="696">
        <f t="shared" si="107"/>
        <v>0</v>
      </c>
      <c r="AA314" s="696">
        <f t="shared" si="107"/>
        <v>0</v>
      </c>
      <c r="AB314" s="696">
        <f t="shared" si="107"/>
        <v>0</v>
      </c>
      <c r="AC314" s="696">
        <f t="shared" si="107"/>
        <v>0</v>
      </c>
      <c r="AD314" s="696">
        <f t="shared" si="107"/>
        <v>0</v>
      </c>
      <c r="AE314" s="697">
        <f t="shared" si="100"/>
        <v>1</v>
      </c>
      <c r="AF314" s="694"/>
      <c r="AG314" s="694">
        <f t="shared" ref="AG314:AR314" si="108">AG313</f>
        <v>0</v>
      </c>
      <c r="AH314" s="694">
        <f t="shared" si="108"/>
        <v>0</v>
      </c>
      <c r="AI314" s="694">
        <f t="shared" si="108"/>
        <v>0</v>
      </c>
      <c r="AJ314" s="694">
        <f t="shared" si="108"/>
        <v>0</v>
      </c>
      <c r="AK314" s="694">
        <f t="shared" si="108"/>
        <v>0</v>
      </c>
      <c r="AL314" s="694">
        <f t="shared" si="108"/>
        <v>0</v>
      </c>
      <c r="AM314" s="694">
        <f t="shared" si="108"/>
        <v>0</v>
      </c>
      <c r="AN314" s="694">
        <f t="shared" si="108"/>
        <v>0</v>
      </c>
      <c r="AO314" s="694">
        <f t="shared" si="108"/>
        <v>0</v>
      </c>
      <c r="AP314" s="694">
        <f t="shared" si="108"/>
        <v>0</v>
      </c>
      <c r="AQ314" s="694">
        <f t="shared" si="108"/>
        <v>0</v>
      </c>
      <c r="AR314" s="694">
        <f t="shared" si="108"/>
        <v>0</v>
      </c>
      <c r="AS314" s="694">
        <f>AS313</f>
        <v>0</v>
      </c>
      <c r="AT314" s="694"/>
      <c r="AU314" s="697">
        <f t="shared" si="88"/>
        <v>0</v>
      </c>
      <c r="AV314" s="697">
        <f t="shared" si="93"/>
        <v>1</v>
      </c>
      <c r="AW314" s="698">
        <v>1</v>
      </c>
      <c r="AX314" s="694">
        <f t="shared" si="90"/>
        <v>0</v>
      </c>
      <c r="AY314" s="698">
        <f t="shared" si="92"/>
        <v>-1</v>
      </c>
      <c r="AZ314" s="698"/>
      <c r="BA314" s="698"/>
      <c r="BC314" s="688">
        <f t="shared" si="91"/>
        <v>2.7397260273972603E-3</v>
      </c>
    </row>
    <row r="315" spans="1:55" x14ac:dyDescent="0.25">
      <c r="A315" s="664" t="s">
        <v>1155</v>
      </c>
      <c r="B315" s="662" t="s">
        <v>1156</v>
      </c>
      <c r="C315" s="662" t="s">
        <v>932</v>
      </c>
      <c r="D315" s="663"/>
      <c r="E315" s="662">
        <v>19</v>
      </c>
      <c r="F315" s="662">
        <v>17</v>
      </c>
      <c r="G315" s="662">
        <v>11</v>
      </c>
      <c r="H315" s="662">
        <v>24</v>
      </c>
      <c r="I315" s="662">
        <v>24</v>
      </c>
      <c r="J315" s="662">
        <v>14</v>
      </c>
      <c r="K315" s="662">
        <v>18</v>
      </c>
      <c r="L315" s="662">
        <v>10</v>
      </c>
      <c r="M315" s="662">
        <v>20</v>
      </c>
      <c r="N315" s="662">
        <v>8</v>
      </c>
      <c r="O315" s="662">
        <v>21</v>
      </c>
      <c r="P315" s="662">
        <v>23</v>
      </c>
      <c r="Q315" s="681">
        <f t="shared" si="87"/>
        <v>209</v>
      </c>
      <c r="S315" s="662">
        <v>14</v>
      </c>
      <c r="T315" s="662">
        <v>26</v>
      </c>
      <c r="U315" s="662">
        <v>19</v>
      </c>
      <c r="V315" s="662">
        <v>16</v>
      </c>
      <c r="W315" s="683">
        <v>24</v>
      </c>
      <c r="X315" s="683">
        <v>14</v>
      </c>
      <c r="Y315" s="683">
        <v>14</v>
      </c>
      <c r="Z315" s="683">
        <v>10</v>
      </c>
      <c r="AA315" s="683">
        <v>20</v>
      </c>
      <c r="AB315" s="683">
        <v>8</v>
      </c>
      <c r="AC315" s="683">
        <v>21</v>
      </c>
      <c r="AD315" s="683">
        <v>23</v>
      </c>
      <c r="AE315" s="684">
        <f t="shared" si="100"/>
        <v>209</v>
      </c>
      <c r="AG315" s="663">
        <v>18</v>
      </c>
      <c r="AH315" s="663">
        <v>18</v>
      </c>
      <c r="AI315" s="663">
        <v>18</v>
      </c>
      <c r="AJ315" s="663">
        <v>18</v>
      </c>
      <c r="AK315" s="663">
        <v>17</v>
      </c>
      <c r="AL315" s="663">
        <v>17</v>
      </c>
      <c r="AM315" s="663">
        <v>17</v>
      </c>
      <c r="AN315" s="663">
        <v>18</v>
      </c>
      <c r="AO315" s="663">
        <v>17</v>
      </c>
      <c r="AP315" s="663">
        <v>17</v>
      </c>
      <c r="AQ315" s="663">
        <v>17</v>
      </c>
      <c r="AR315" s="663">
        <v>17</v>
      </c>
      <c r="AS315" s="685">
        <f t="shared" ref="AS315:AS374" si="109">SUM(AG315:AR315)</f>
        <v>209</v>
      </c>
      <c r="AU315" s="686">
        <f t="shared" si="88"/>
        <v>209</v>
      </c>
      <c r="AV315" s="665">
        <f t="shared" si="93"/>
        <v>209</v>
      </c>
      <c r="AW315" s="687">
        <f t="shared" si="89"/>
        <v>0</v>
      </c>
      <c r="AX315" s="663">
        <f t="shared" si="90"/>
        <v>209</v>
      </c>
      <c r="AY315" s="713">
        <f t="shared" si="92"/>
        <v>0</v>
      </c>
      <c r="BC315" s="688">
        <f t="shared" si="91"/>
        <v>0.58356164383561648</v>
      </c>
    </row>
    <row r="316" spans="1:55" x14ac:dyDescent="0.25">
      <c r="C316" s="662" t="s">
        <v>939</v>
      </c>
      <c r="D316" s="663"/>
      <c r="E316" s="662">
        <v>4</v>
      </c>
      <c r="F316" s="662">
        <v>1</v>
      </c>
      <c r="H316" s="662">
        <v>6</v>
      </c>
      <c r="I316" s="662">
        <v>6</v>
      </c>
      <c r="J316" s="662">
        <v>4</v>
      </c>
      <c r="K316" s="662">
        <v>3</v>
      </c>
      <c r="L316" s="662">
        <v>2</v>
      </c>
      <c r="M316" s="662">
        <v>2</v>
      </c>
      <c r="N316" s="662">
        <v>2</v>
      </c>
      <c r="O316" s="662">
        <v>1</v>
      </c>
      <c r="P316" s="662">
        <v>8</v>
      </c>
      <c r="Q316" s="681">
        <f t="shared" si="87"/>
        <v>39</v>
      </c>
      <c r="S316" s="662">
        <v>2</v>
      </c>
      <c r="T316" s="662">
        <v>6</v>
      </c>
      <c r="U316" s="662">
        <v>5</v>
      </c>
      <c r="V316" s="662">
        <v>3</v>
      </c>
      <c r="W316" s="683">
        <v>6</v>
      </c>
      <c r="X316" s="683">
        <v>4</v>
      </c>
      <c r="Y316" s="683">
        <v>3</v>
      </c>
      <c r="Z316" s="683">
        <v>2</v>
      </c>
      <c r="AA316" s="683">
        <v>2</v>
      </c>
      <c r="AB316" s="683">
        <v>1</v>
      </c>
      <c r="AC316" s="683">
        <v>8</v>
      </c>
      <c r="AD316" s="683">
        <f t="shared" ref="Y316:AD347" si="110">$BC316*AD$1</f>
        <v>3.6164383561643838</v>
      </c>
      <c r="AE316" s="684">
        <f t="shared" si="100"/>
        <v>45.61643835616438</v>
      </c>
      <c r="AG316" s="663">
        <v>4</v>
      </c>
      <c r="AH316" s="663">
        <v>4</v>
      </c>
      <c r="AI316" s="663">
        <v>4</v>
      </c>
      <c r="AJ316" s="663">
        <v>4</v>
      </c>
      <c r="AK316" s="663">
        <v>4</v>
      </c>
      <c r="AL316" s="663">
        <v>3</v>
      </c>
      <c r="AM316" s="663">
        <v>3</v>
      </c>
      <c r="AN316" s="663">
        <v>4</v>
      </c>
      <c r="AO316" s="663">
        <v>4</v>
      </c>
      <c r="AP316" s="663">
        <v>4</v>
      </c>
      <c r="AQ316" s="663">
        <v>4</v>
      </c>
      <c r="AR316" s="663">
        <v>4</v>
      </c>
      <c r="AS316" s="685">
        <f t="shared" si="109"/>
        <v>46</v>
      </c>
      <c r="AU316" s="686">
        <f t="shared" si="88"/>
        <v>39</v>
      </c>
      <c r="AV316" s="665">
        <f t="shared" si="93"/>
        <v>45.61643835616438</v>
      </c>
      <c r="AW316" s="687">
        <f t="shared" si="89"/>
        <v>0.16965226554267643</v>
      </c>
      <c r="AX316" s="663">
        <f t="shared" si="90"/>
        <v>46</v>
      </c>
      <c r="AY316" s="713">
        <f t="shared" si="92"/>
        <v>8.4084084084083965E-3</v>
      </c>
      <c r="BC316" s="688">
        <f t="shared" si="91"/>
        <v>0.12054794520547946</v>
      </c>
    </row>
    <row r="317" spans="1:55" x14ac:dyDescent="0.25">
      <c r="B317" s="662" t="s">
        <v>1157</v>
      </c>
      <c r="C317" s="662" t="s">
        <v>961</v>
      </c>
      <c r="D317" s="663"/>
      <c r="E317" s="662">
        <v>4</v>
      </c>
      <c r="F317" s="662">
        <v>2</v>
      </c>
      <c r="G317" s="662">
        <v>2</v>
      </c>
      <c r="J317" s="662">
        <v>2</v>
      </c>
      <c r="K317" s="662">
        <v>1</v>
      </c>
      <c r="L317" s="662">
        <v>3</v>
      </c>
      <c r="N317" s="662">
        <v>1</v>
      </c>
      <c r="O317" s="662">
        <v>1</v>
      </c>
      <c r="P317" s="662">
        <v>1</v>
      </c>
      <c r="Q317" s="681">
        <f t="shared" si="87"/>
        <v>17</v>
      </c>
      <c r="S317" s="662">
        <v>6</v>
      </c>
      <c r="T317" s="662">
        <v>2</v>
      </c>
      <c r="U317" s="662">
        <v>3</v>
      </c>
      <c r="V317" s="662">
        <v>1</v>
      </c>
      <c r="W317" s="683">
        <v>0</v>
      </c>
      <c r="X317" s="683">
        <v>2</v>
      </c>
      <c r="Y317" s="683">
        <v>1</v>
      </c>
      <c r="Z317" s="683">
        <v>3</v>
      </c>
      <c r="AA317" s="683">
        <v>0</v>
      </c>
      <c r="AB317" s="683">
        <v>1</v>
      </c>
      <c r="AC317" s="683">
        <v>1</v>
      </c>
      <c r="AD317" s="683">
        <v>1</v>
      </c>
      <c r="AE317" s="684">
        <f t="shared" si="100"/>
        <v>21</v>
      </c>
      <c r="AG317" s="663">
        <v>2</v>
      </c>
      <c r="AH317" s="663">
        <v>2</v>
      </c>
      <c r="AI317" s="663">
        <v>2</v>
      </c>
      <c r="AJ317" s="663">
        <v>2</v>
      </c>
      <c r="AK317" s="663">
        <v>2</v>
      </c>
      <c r="AL317" s="663">
        <v>2</v>
      </c>
      <c r="AM317" s="663">
        <v>2</v>
      </c>
      <c r="AN317" s="663">
        <v>2</v>
      </c>
      <c r="AO317" s="663">
        <v>2</v>
      </c>
      <c r="AP317" s="663">
        <v>1</v>
      </c>
      <c r="AQ317" s="663">
        <v>1</v>
      </c>
      <c r="AR317" s="663">
        <v>1</v>
      </c>
      <c r="AS317" s="685">
        <f t="shared" si="109"/>
        <v>21</v>
      </c>
      <c r="AU317" s="686">
        <f t="shared" si="88"/>
        <v>17</v>
      </c>
      <c r="AV317" s="665">
        <f t="shared" si="93"/>
        <v>21</v>
      </c>
      <c r="AW317" s="687">
        <f t="shared" si="89"/>
        <v>0.23529411764705888</v>
      </c>
      <c r="AX317" s="663">
        <f t="shared" si="90"/>
        <v>21</v>
      </c>
      <c r="AY317" s="713">
        <f t="shared" si="92"/>
        <v>0</v>
      </c>
      <c r="BC317" s="688">
        <f t="shared" si="91"/>
        <v>5.7534246575342465E-2</v>
      </c>
    </row>
    <row r="318" spans="1:55" x14ac:dyDescent="0.25">
      <c r="B318" s="662" t="s">
        <v>1158</v>
      </c>
      <c r="C318" s="662" t="s">
        <v>932</v>
      </c>
      <c r="D318" s="663"/>
      <c r="E318" s="662">
        <v>13</v>
      </c>
      <c r="F318" s="662">
        <v>20</v>
      </c>
      <c r="G318" s="662">
        <v>14</v>
      </c>
      <c r="H318" s="662">
        <v>21</v>
      </c>
      <c r="I318" s="662">
        <v>22</v>
      </c>
      <c r="J318" s="662">
        <v>16</v>
      </c>
      <c r="K318" s="662">
        <v>17</v>
      </c>
      <c r="L318" s="662">
        <v>17</v>
      </c>
      <c r="M318" s="662">
        <v>21</v>
      </c>
      <c r="N318" s="662">
        <v>23</v>
      </c>
      <c r="O318" s="662">
        <v>11</v>
      </c>
      <c r="P318" s="662">
        <v>21</v>
      </c>
      <c r="Q318" s="681">
        <f t="shared" si="87"/>
        <v>216</v>
      </c>
      <c r="S318" s="662">
        <v>33</v>
      </c>
      <c r="T318" s="662">
        <v>18</v>
      </c>
      <c r="U318" s="662">
        <v>16</v>
      </c>
      <c r="V318" s="662">
        <v>11</v>
      </c>
      <c r="W318" s="683">
        <v>22</v>
      </c>
      <c r="X318" s="683">
        <v>16</v>
      </c>
      <c r="Y318" s="683">
        <v>17</v>
      </c>
      <c r="Z318" s="683">
        <v>17</v>
      </c>
      <c r="AA318" s="683">
        <v>21</v>
      </c>
      <c r="AB318" s="683">
        <v>23</v>
      </c>
      <c r="AC318" s="683">
        <v>11</v>
      </c>
      <c r="AD318" s="683">
        <v>21</v>
      </c>
      <c r="AE318" s="684">
        <f t="shared" si="100"/>
        <v>226</v>
      </c>
      <c r="AG318" s="663">
        <v>19</v>
      </c>
      <c r="AH318" s="663">
        <v>19</v>
      </c>
      <c r="AI318" s="663">
        <v>19</v>
      </c>
      <c r="AJ318" s="663">
        <v>19</v>
      </c>
      <c r="AK318" s="663">
        <v>19</v>
      </c>
      <c r="AL318" s="663">
        <v>19</v>
      </c>
      <c r="AM318" s="663">
        <v>19</v>
      </c>
      <c r="AN318" s="663">
        <v>19</v>
      </c>
      <c r="AO318" s="663">
        <v>19</v>
      </c>
      <c r="AP318" s="663">
        <v>19</v>
      </c>
      <c r="AQ318" s="663">
        <v>19</v>
      </c>
      <c r="AR318" s="663">
        <v>19</v>
      </c>
      <c r="AS318" s="685">
        <f t="shared" si="109"/>
        <v>228</v>
      </c>
      <c r="AU318" s="686">
        <f t="shared" si="88"/>
        <v>216</v>
      </c>
      <c r="AV318" s="665">
        <f t="shared" si="93"/>
        <v>226</v>
      </c>
      <c r="AW318" s="687">
        <f t="shared" si="89"/>
        <v>4.629629629629628E-2</v>
      </c>
      <c r="AX318" s="663">
        <f t="shared" si="90"/>
        <v>228</v>
      </c>
      <c r="AY318" s="713">
        <f t="shared" si="92"/>
        <v>8.8495575221239076E-3</v>
      </c>
      <c r="BC318" s="688">
        <f t="shared" si="91"/>
        <v>0.61917808219178083</v>
      </c>
    </row>
    <row r="319" spans="1:55" x14ac:dyDescent="0.25">
      <c r="C319" s="662" t="s">
        <v>939</v>
      </c>
      <c r="D319" s="663"/>
      <c r="E319" s="662">
        <v>11</v>
      </c>
      <c r="F319" s="662">
        <v>7</v>
      </c>
      <c r="G319" s="662">
        <v>3</v>
      </c>
      <c r="H319" s="662">
        <v>15</v>
      </c>
      <c r="I319" s="662">
        <v>5</v>
      </c>
      <c r="J319" s="662">
        <v>9</v>
      </c>
      <c r="M319" s="662">
        <v>7</v>
      </c>
      <c r="O319" s="662">
        <v>11</v>
      </c>
      <c r="P319" s="662">
        <v>3</v>
      </c>
      <c r="Q319" s="681">
        <f t="shared" si="87"/>
        <v>71</v>
      </c>
      <c r="S319" s="662">
        <v>7</v>
      </c>
      <c r="U319" s="662">
        <v>6</v>
      </c>
      <c r="V319" s="662">
        <v>4</v>
      </c>
      <c r="W319" s="683">
        <v>5</v>
      </c>
      <c r="X319" s="683">
        <v>9</v>
      </c>
      <c r="Y319" s="683">
        <v>0</v>
      </c>
      <c r="Z319" s="683">
        <v>0</v>
      </c>
      <c r="AA319" s="683">
        <v>7</v>
      </c>
      <c r="AB319" s="683">
        <v>0</v>
      </c>
      <c r="AC319" s="683">
        <v>11</v>
      </c>
      <c r="AD319" s="683">
        <v>3</v>
      </c>
      <c r="AE319" s="684">
        <f t="shared" si="100"/>
        <v>52</v>
      </c>
      <c r="AG319" s="663">
        <v>4</v>
      </c>
      <c r="AH319" s="663">
        <v>4</v>
      </c>
      <c r="AI319" s="663">
        <v>5</v>
      </c>
      <c r="AJ319" s="663">
        <v>5</v>
      </c>
      <c r="AK319" s="663">
        <v>5</v>
      </c>
      <c r="AL319" s="663">
        <v>5</v>
      </c>
      <c r="AM319" s="663">
        <v>4</v>
      </c>
      <c r="AN319" s="663">
        <v>4</v>
      </c>
      <c r="AO319" s="663">
        <v>4</v>
      </c>
      <c r="AP319" s="663">
        <v>4</v>
      </c>
      <c r="AQ319" s="663">
        <v>4</v>
      </c>
      <c r="AR319" s="663">
        <v>4</v>
      </c>
      <c r="AS319" s="685">
        <f t="shared" si="109"/>
        <v>52</v>
      </c>
      <c r="AU319" s="686">
        <f t="shared" si="88"/>
        <v>71</v>
      </c>
      <c r="AV319" s="665">
        <f t="shared" si="93"/>
        <v>52</v>
      </c>
      <c r="AW319" s="687">
        <f t="shared" si="89"/>
        <v>-0.26760563380281688</v>
      </c>
      <c r="AX319" s="663">
        <f t="shared" si="90"/>
        <v>52</v>
      </c>
      <c r="AY319" s="713">
        <f t="shared" si="92"/>
        <v>0</v>
      </c>
      <c r="BC319" s="688">
        <f t="shared" si="91"/>
        <v>0.14246575342465753</v>
      </c>
    </row>
    <row r="320" spans="1:55" x14ac:dyDescent="0.25">
      <c r="B320" s="662" t="s">
        <v>1159</v>
      </c>
      <c r="C320" s="662" t="s">
        <v>932</v>
      </c>
      <c r="D320" s="663"/>
      <c r="E320" s="662">
        <v>2</v>
      </c>
      <c r="Q320" s="681">
        <f t="shared" si="87"/>
        <v>2</v>
      </c>
      <c r="V320" s="662">
        <v>2</v>
      </c>
      <c r="W320" s="683">
        <v>0</v>
      </c>
      <c r="X320" s="683">
        <v>0</v>
      </c>
      <c r="Y320" s="683">
        <v>0</v>
      </c>
      <c r="Z320" s="683">
        <v>0</v>
      </c>
      <c r="AA320" s="683">
        <v>0</v>
      </c>
      <c r="AB320" s="683">
        <v>0</v>
      </c>
      <c r="AC320" s="683">
        <v>0</v>
      </c>
      <c r="AD320" s="683">
        <v>0</v>
      </c>
      <c r="AE320" s="684">
        <f t="shared" si="100"/>
        <v>2</v>
      </c>
      <c r="AG320" s="663">
        <v>0</v>
      </c>
      <c r="AH320" s="663">
        <v>0</v>
      </c>
      <c r="AI320" s="663">
        <v>0</v>
      </c>
      <c r="AJ320" s="663">
        <v>0</v>
      </c>
      <c r="AK320" s="663">
        <v>0</v>
      </c>
      <c r="AL320" s="663">
        <v>0</v>
      </c>
      <c r="AM320" s="663">
        <v>0</v>
      </c>
      <c r="AN320" s="663">
        <v>0</v>
      </c>
      <c r="AO320" s="663">
        <v>0</v>
      </c>
      <c r="AP320" s="663">
        <v>0</v>
      </c>
      <c r="AQ320" s="663">
        <v>0</v>
      </c>
      <c r="AR320" s="663">
        <v>0</v>
      </c>
      <c r="AS320" s="685">
        <f t="shared" si="109"/>
        <v>0</v>
      </c>
      <c r="AU320" s="686">
        <f t="shared" si="88"/>
        <v>2</v>
      </c>
      <c r="AV320" s="665">
        <f t="shared" si="93"/>
        <v>2</v>
      </c>
      <c r="AW320" s="687">
        <f t="shared" si="89"/>
        <v>0</v>
      </c>
      <c r="AX320" s="663">
        <f t="shared" si="90"/>
        <v>0</v>
      </c>
      <c r="AY320" s="713">
        <f t="shared" si="92"/>
        <v>-1</v>
      </c>
      <c r="BC320" s="688">
        <f t="shared" si="91"/>
        <v>5.4794520547945206E-3</v>
      </c>
    </row>
    <row r="321" spans="2:55" x14ac:dyDescent="0.25">
      <c r="C321" s="662" t="s">
        <v>939</v>
      </c>
      <c r="D321" s="663"/>
      <c r="E321" s="662">
        <v>17</v>
      </c>
      <c r="F321" s="662">
        <v>6</v>
      </c>
      <c r="G321" s="662">
        <v>13</v>
      </c>
      <c r="I321" s="662">
        <v>9</v>
      </c>
      <c r="J321" s="662">
        <v>10</v>
      </c>
      <c r="K321" s="662">
        <v>1</v>
      </c>
      <c r="L321" s="662">
        <v>12</v>
      </c>
      <c r="M321" s="662">
        <v>1</v>
      </c>
      <c r="N321" s="662">
        <v>10</v>
      </c>
      <c r="O321" s="662">
        <v>3</v>
      </c>
      <c r="P321" s="662">
        <v>1</v>
      </c>
      <c r="Q321" s="681">
        <f t="shared" si="87"/>
        <v>83</v>
      </c>
      <c r="S321" s="662">
        <v>3</v>
      </c>
      <c r="T321" s="662">
        <v>5</v>
      </c>
      <c r="U321" s="662">
        <v>4</v>
      </c>
      <c r="V321" s="662">
        <v>12</v>
      </c>
      <c r="W321" s="683">
        <v>6</v>
      </c>
      <c r="X321" s="683">
        <v>6</v>
      </c>
      <c r="Y321" s="683">
        <v>6</v>
      </c>
      <c r="Z321" s="683">
        <v>6</v>
      </c>
      <c r="AA321" s="683">
        <v>6</v>
      </c>
      <c r="AB321" s="683">
        <v>6</v>
      </c>
      <c r="AC321" s="683">
        <v>6</v>
      </c>
      <c r="AD321" s="683">
        <v>6</v>
      </c>
      <c r="AE321" s="684">
        <f t="shared" si="100"/>
        <v>72</v>
      </c>
      <c r="AG321" s="663">
        <v>6</v>
      </c>
      <c r="AH321" s="663">
        <v>6</v>
      </c>
      <c r="AI321" s="663">
        <v>6</v>
      </c>
      <c r="AJ321" s="663">
        <v>6</v>
      </c>
      <c r="AK321" s="663">
        <v>6</v>
      </c>
      <c r="AL321" s="663">
        <v>6</v>
      </c>
      <c r="AM321" s="663">
        <v>6</v>
      </c>
      <c r="AN321" s="663">
        <v>6</v>
      </c>
      <c r="AO321" s="663">
        <v>6</v>
      </c>
      <c r="AP321" s="663">
        <v>6</v>
      </c>
      <c r="AQ321" s="663">
        <v>6</v>
      </c>
      <c r="AR321" s="663">
        <v>6</v>
      </c>
      <c r="AS321" s="685">
        <f t="shared" si="109"/>
        <v>72</v>
      </c>
      <c r="AU321" s="686">
        <f t="shared" si="88"/>
        <v>83</v>
      </c>
      <c r="AV321" s="665">
        <f t="shared" si="93"/>
        <v>72</v>
      </c>
      <c r="AW321" s="687">
        <f t="shared" si="89"/>
        <v>-0.13253012048192769</v>
      </c>
      <c r="AX321" s="663">
        <f t="shared" si="90"/>
        <v>72</v>
      </c>
      <c r="AY321" s="713">
        <f t="shared" si="92"/>
        <v>0</v>
      </c>
      <c r="BC321" s="688">
        <f t="shared" si="91"/>
        <v>0.19452054794520549</v>
      </c>
    </row>
    <row r="322" spans="2:55" x14ac:dyDescent="0.25">
      <c r="C322" s="662" t="s">
        <v>961</v>
      </c>
      <c r="D322" s="663"/>
      <c r="E322" s="662">
        <v>7</v>
      </c>
      <c r="F322" s="662">
        <v>4</v>
      </c>
      <c r="G322" s="662">
        <v>5</v>
      </c>
      <c r="I322" s="662">
        <v>4</v>
      </c>
      <c r="J322" s="662">
        <v>4</v>
      </c>
      <c r="K322" s="662">
        <v>11</v>
      </c>
      <c r="L322" s="662">
        <v>2</v>
      </c>
      <c r="M322" s="662">
        <v>2</v>
      </c>
      <c r="N322" s="662">
        <v>9</v>
      </c>
      <c r="O322" s="662">
        <v>6</v>
      </c>
      <c r="P322" s="662">
        <v>5</v>
      </c>
      <c r="Q322" s="681">
        <f t="shared" si="87"/>
        <v>59</v>
      </c>
      <c r="S322" s="662">
        <v>2</v>
      </c>
      <c r="T322" s="662">
        <v>5</v>
      </c>
      <c r="U322" s="662">
        <v>4</v>
      </c>
      <c r="V322" s="662">
        <v>7</v>
      </c>
      <c r="W322" s="683">
        <v>5</v>
      </c>
      <c r="X322" s="683">
        <v>5</v>
      </c>
      <c r="Y322" s="683">
        <v>5</v>
      </c>
      <c r="Z322" s="683">
        <v>5</v>
      </c>
      <c r="AA322" s="683">
        <v>5</v>
      </c>
      <c r="AB322" s="683">
        <v>5</v>
      </c>
      <c r="AC322" s="683">
        <v>5</v>
      </c>
      <c r="AD322" s="683">
        <v>5</v>
      </c>
      <c r="AE322" s="684">
        <f t="shared" si="100"/>
        <v>58</v>
      </c>
      <c r="AG322" s="663">
        <v>5</v>
      </c>
      <c r="AH322" s="663">
        <v>5</v>
      </c>
      <c r="AI322" s="663">
        <v>5</v>
      </c>
      <c r="AJ322" s="663">
        <v>5</v>
      </c>
      <c r="AK322" s="663">
        <v>5</v>
      </c>
      <c r="AL322" s="663">
        <v>5</v>
      </c>
      <c r="AM322" s="663">
        <v>5</v>
      </c>
      <c r="AN322" s="663">
        <v>5</v>
      </c>
      <c r="AO322" s="663">
        <v>5</v>
      </c>
      <c r="AP322" s="663">
        <v>5</v>
      </c>
      <c r="AQ322" s="663">
        <v>5</v>
      </c>
      <c r="AR322" s="663">
        <v>5</v>
      </c>
      <c r="AS322" s="685">
        <f t="shared" si="109"/>
        <v>60</v>
      </c>
      <c r="AU322" s="686">
        <f t="shared" si="88"/>
        <v>59</v>
      </c>
      <c r="AV322" s="665">
        <f t="shared" si="93"/>
        <v>58</v>
      </c>
      <c r="AW322" s="687">
        <f t="shared" si="89"/>
        <v>-1.6949152542372836E-2</v>
      </c>
      <c r="AX322" s="663">
        <f t="shared" si="90"/>
        <v>60</v>
      </c>
      <c r="AY322" s="713">
        <f t="shared" si="92"/>
        <v>3.4482758620689724E-2</v>
      </c>
      <c r="BC322" s="688">
        <f t="shared" si="91"/>
        <v>0.16712328767123288</v>
      </c>
    </row>
    <row r="323" spans="2:55" x14ac:dyDescent="0.25">
      <c r="B323" s="662" t="s">
        <v>1160</v>
      </c>
      <c r="C323" s="662" t="s">
        <v>939</v>
      </c>
      <c r="D323" s="663" t="s">
        <v>945</v>
      </c>
      <c r="G323" s="662">
        <v>1</v>
      </c>
      <c r="Q323" s="681">
        <f t="shared" si="87"/>
        <v>1</v>
      </c>
      <c r="W323" s="683">
        <f t="shared" ref="W323:X347" si="111">$BC323*W$1</f>
        <v>0</v>
      </c>
      <c r="X323" s="683">
        <f t="shared" si="111"/>
        <v>0</v>
      </c>
      <c r="Y323" s="683">
        <f t="shared" si="110"/>
        <v>0</v>
      </c>
      <c r="Z323" s="683">
        <f t="shared" si="110"/>
        <v>0</v>
      </c>
      <c r="AA323" s="683">
        <f t="shared" si="110"/>
        <v>0</v>
      </c>
      <c r="AB323" s="683">
        <f t="shared" si="110"/>
        <v>0</v>
      </c>
      <c r="AC323" s="683">
        <f t="shared" si="110"/>
        <v>0</v>
      </c>
      <c r="AD323" s="683">
        <f t="shared" si="110"/>
        <v>0</v>
      </c>
      <c r="AE323" s="684">
        <f t="shared" si="100"/>
        <v>0</v>
      </c>
      <c r="AG323" s="663">
        <v>0</v>
      </c>
      <c r="AH323" s="663">
        <v>0</v>
      </c>
      <c r="AI323" s="663">
        <v>0</v>
      </c>
      <c r="AJ323" s="663">
        <v>0</v>
      </c>
      <c r="AK323" s="663">
        <v>0</v>
      </c>
      <c r="AL323" s="663">
        <v>0</v>
      </c>
      <c r="AM323" s="663">
        <v>0</v>
      </c>
      <c r="AN323" s="663">
        <v>0</v>
      </c>
      <c r="AO323" s="663">
        <v>0</v>
      </c>
      <c r="AP323" s="663">
        <v>0</v>
      </c>
      <c r="AQ323" s="663">
        <v>0</v>
      </c>
      <c r="AR323" s="663">
        <v>0</v>
      </c>
      <c r="AS323" s="685">
        <f t="shared" si="109"/>
        <v>0</v>
      </c>
      <c r="AU323" s="686">
        <f t="shared" si="88"/>
        <v>1</v>
      </c>
      <c r="AV323" s="665">
        <f t="shared" si="93"/>
        <v>0</v>
      </c>
      <c r="AW323" s="687">
        <f t="shared" si="89"/>
        <v>-1</v>
      </c>
      <c r="AX323" s="663">
        <f t="shared" si="90"/>
        <v>0</v>
      </c>
      <c r="AY323" s="713">
        <v>0</v>
      </c>
      <c r="BC323" s="688">
        <f t="shared" si="91"/>
        <v>0</v>
      </c>
    </row>
    <row r="324" spans="2:55" x14ac:dyDescent="0.25">
      <c r="B324" s="662" t="s">
        <v>1161</v>
      </c>
      <c r="C324" s="662" t="s">
        <v>932</v>
      </c>
      <c r="D324" s="663"/>
      <c r="E324" s="662">
        <v>2</v>
      </c>
      <c r="G324" s="662">
        <v>1</v>
      </c>
      <c r="H324" s="662">
        <v>1</v>
      </c>
      <c r="K324" s="662">
        <v>1</v>
      </c>
      <c r="P324" s="662">
        <v>1</v>
      </c>
      <c r="Q324" s="681">
        <f t="shared" si="87"/>
        <v>6</v>
      </c>
      <c r="T324" s="662">
        <v>1</v>
      </c>
      <c r="V324" s="662">
        <v>1</v>
      </c>
      <c r="W324" s="683">
        <v>0</v>
      </c>
      <c r="X324" s="683">
        <v>1</v>
      </c>
      <c r="Y324" s="683">
        <v>0</v>
      </c>
      <c r="Z324" s="683">
        <v>1</v>
      </c>
      <c r="AA324" s="683">
        <v>0</v>
      </c>
      <c r="AB324" s="683">
        <v>1</v>
      </c>
      <c r="AC324" s="683">
        <v>0</v>
      </c>
      <c r="AD324" s="683">
        <v>1</v>
      </c>
      <c r="AE324" s="684">
        <f t="shared" si="100"/>
        <v>6</v>
      </c>
      <c r="AG324" s="663">
        <v>0</v>
      </c>
      <c r="AH324" s="663">
        <v>1</v>
      </c>
      <c r="AI324" s="663">
        <v>0</v>
      </c>
      <c r="AJ324" s="663">
        <v>1</v>
      </c>
      <c r="AK324" s="663">
        <v>0</v>
      </c>
      <c r="AL324" s="663">
        <v>1</v>
      </c>
      <c r="AM324" s="663">
        <v>0</v>
      </c>
      <c r="AN324" s="663">
        <v>1</v>
      </c>
      <c r="AO324" s="663">
        <v>0</v>
      </c>
      <c r="AP324" s="663">
        <v>1</v>
      </c>
      <c r="AQ324" s="663">
        <v>0</v>
      </c>
      <c r="AR324" s="663">
        <v>1</v>
      </c>
      <c r="AS324" s="685">
        <f t="shared" si="109"/>
        <v>6</v>
      </c>
      <c r="AU324" s="686">
        <f t="shared" si="88"/>
        <v>6</v>
      </c>
      <c r="AV324" s="665">
        <f t="shared" si="93"/>
        <v>6</v>
      </c>
      <c r="AW324" s="687">
        <f t="shared" si="89"/>
        <v>0</v>
      </c>
      <c r="AX324" s="663">
        <f t="shared" si="90"/>
        <v>6</v>
      </c>
      <c r="AY324" s="713">
        <f t="shared" si="92"/>
        <v>0</v>
      </c>
      <c r="BC324" s="688">
        <f t="shared" si="91"/>
        <v>1.0958904109589041E-2</v>
      </c>
    </row>
    <row r="325" spans="2:55" x14ac:dyDescent="0.25">
      <c r="C325" s="662" t="s">
        <v>939</v>
      </c>
      <c r="D325" s="663"/>
      <c r="E325" s="662">
        <v>36</v>
      </c>
      <c r="F325" s="662">
        <v>40</v>
      </c>
      <c r="G325" s="662">
        <v>27</v>
      </c>
      <c r="H325" s="662">
        <v>28</v>
      </c>
      <c r="I325" s="662">
        <v>24</v>
      </c>
      <c r="J325" s="662">
        <v>21</v>
      </c>
      <c r="K325" s="662">
        <v>26</v>
      </c>
      <c r="L325" s="662">
        <v>19</v>
      </c>
      <c r="M325" s="662">
        <v>31</v>
      </c>
      <c r="N325" s="662">
        <v>27</v>
      </c>
      <c r="O325" s="662">
        <v>29</v>
      </c>
      <c r="P325" s="662">
        <v>34</v>
      </c>
      <c r="Q325" s="681">
        <f t="shared" si="87"/>
        <v>342</v>
      </c>
      <c r="S325" s="662">
        <v>29</v>
      </c>
      <c r="T325" s="662">
        <v>29</v>
      </c>
      <c r="U325" s="662">
        <v>24</v>
      </c>
      <c r="V325" s="662">
        <v>26</v>
      </c>
      <c r="W325" s="683">
        <v>27</v>
      </c>
      <c r="X325" s="683">
        <v>28</v>
      </c>
      <c r="Y325" s="683">
        <v>28</v>
      </c>
      <c r="Z325" s="683">
        <v>28</v>
      </c>
      <c r="AA325" s="683">
        <v>28</v>
      </c>
      <c r="AB325" s="683">
        <v>27</v>
      </c>
      <c r="AC325" s="683">
        <v>26</v>
      </c>
      <c r="AD325" s="683">
        <v>26</v>
      </c>
      <c r="AE325" s="684">
        <f t="shared" si="100"/>
        <v>326</v>
      </c>
      <c r="AG325" s="663">
        <v>28</v>
      </c>
      <c r="AH325" s="663">
        <v>28</v>
      </c>
      <c r="AI325" s="663">
        <v>28</v>
      </c>
      <c r="AJ325" s="663">
        <v>27</v>
      </c>
      <c r="AK325" s="663">
        <v>27</v>
      </c>
      <c r="AL325" s="663">
        <v>27</v>
      </c>
      <c r="AM325" s="663">
        <v>27</v>
      </c>
      <c r="AN325" s="663">
        <v>27</v>
      </c>
      <c r="AO325" s="663">
        <v>27</v>
      </c>
      <c r="AP325" s="663">
        <v>28</v>
      </c>
      <c r="AQ325" s="663">
        <v>28</v>
      </c>
      <c r="AR325" s="663">
        <v>28</v>
      </c>
      <c r="AS325" s="685">
        <f t="shared" si="109"/>
        <v>330</v>
      </c>
      <c r="AU325" s="686">
        <f t="shared" si="88"/>
        <v>342</v>
      </c>
      <c r="AV325" s="665">
        <f t="shared" si="93"/>
        <v>326</v>
      </c>
      <c r="AW325" s="687">
        <f t="shared" si="89"/>
        <v>-4.6783625730994149E-2</v>
      </c>
      <c r="AX325" s="663">
        <f t="shared" si="90"/>
        <v>330</v>
      </c>
      <c r="AY325" s="713">
        <f t="shared" si="92"/>
        <v>1.2269938650306678E-2</v>
      </c>
      <c r="BC325" s="688">
        <f t="shared" si="91"/>
        <v>0.87397260273972599</v>
      </c>
    </row>
    <row r="326" spans="2:55" x14ac:dyDescent="0.25">
      <c r="C326" s="662" t="s">
        <v>961</v>
      </c>
      <c r="D326" s="663"/>
      <c r="F326" s="662">
        <v>4</v>
      </c>
      <c r="G326" s="662">
        <v>1</v>
      </c>
      <c r="H326" s="662">
        <v>2</v>
      </c>
      <c r="I326" s="662">
        <v>2</v>
      </c>
      <c r="J326" s="662">
        <v>1</v>
      </c>
      <c r="K326" s="662">
        <v>1</v>
      </c>
      <c r="M326" s="662">
        <v>3</v>
      </c>
      <c r="P326" s="662">
        <v>3</v>
      </c>
      <c r="Q326" s="681">
        <f t="shared" si="87"/>
        <v>17</v>
      </c>
      <c r="T326" s="662">
        <v>2</v>
      </c>
      <c r="U326" s="662">
        <v>2</v>
      </c>
      <c r="V326" s="662">
        <v>1</v>
      </c>
      <c r="W326" s="683">
        <v>1</v>
      </c>
      <c r="X326" s="683">
        <v>2</v>
      </c>
      <c r="Y326" s="683">
        <v>1</v>
      </c>
      <c r="Z326" s="683">
        <v>2</v>
      </c>
      <c r="AA326" s="683">
        <v>1</v>
      </c>
      <c r="AB326" s="683">
        <v>2</v>
      </c>
      <c r="AC326" s="683">
        <v>1</v>
      </c>
      <c r="AD326" s="683">
        <v>2</v>
      </c>
      <c r="AE326" s="684">
        <f t="shared" si="100"/>
        <v>17</v>
      </c>
      <c r="AG326" s="663">
        <v>1</v>
      </c>
      <c r="AH326" s="663">
        <v>2</v>
      </c>
      <c r="AI326" s="663">
        <v>1</v>
      </c>
      <c r="AJ326" s="663">
        <v>2</v>
      </c>
      <c r="AK326" s="663">
        <v>1</v>
      </c>
      <c r="AL326" s="663">
        <v>2</v>
      </c>
      <c r="AM326" s="663">
        <v>1</v>
      </c>
      <c r="AN326" s="663">
        <v>2</v>
      </c>
      <c r="AO326" s="663">
        <v>1</v>
      </c>
      <c r="AP326" s="663">
        <v>2</v>
      </c>
      <c r="AQ326" s="663">
        <v>1</v>
      </c>
      <c r="AR326" s="663">
        <v>2</v>
      </c>
      <c r="AS326" s="685">
        <f t="shared" si="109"/>
        <v>18</v>
      </c>
      <c r="AU326" s="686">
        <f t="shared" si="88"/>
        <v>17</v>
      </c>
      <c r="AV326" s="665">
        <f t="shared" si="93"/>
        <v>17</v>
      </c>
      <c r="AW326" s="687">
        <f t="shared" si="89"/>
        <v>0</v>
      </c>
      <c r="AX326" s="663">
        <f t="shared" si="90"/>
        <v>18</v>
      </c>
      <c r="AY326" s="713">
        <f t="shared" si="92"/>
        <v>5.8823529411764719E-2</v>
      </c>
      <c r="BC326" s="688">
        <f t="shared" si="91"/>
        <v>4.1095890410958902E-2</v>
      </c>
    </row>
    <row r="327" spans="2:55" x14ac:dyDescent="0.25">
      <c r="B327" s="662" t="s">
        <v>1162</v>
      </c>
      <c r="C327" s="662" t="s">
        <v>961</v>
      </c>
      <c r="D327" s="663"/>
      <c r="H327" s="662">
        <v>2</v>
      </c>
      <c r="Q327" s="681">
        <f t="shared" si="87"/>
        <v>2</v>
      </c>
      <c r="W327" s="683">
        <f t="shared" si="111"/>
        <v>0</v>
      </c>
      <c r="X327" s="683">
        <f t="shared" si="111"/>
        <v>0</v>
      </c>
      <c r="Y327" s="683">
        <f t="shared" si="110"/>
        <v>0</v>
      </c>
      <c r="Z327" s="683">
        <f t="shared" si="110"/>
        <v>0</v>
      </c>
      <c r="AA327" s="683">
        <f t="shared" si="110"/>
        <v>0</v>
      </c>
      <c r="AB327" s="683">
        <f t="shared" si="110"/>
        <v>0</v>
      </c>
      <c r="AC327" s="683">
        <f t="shared" si="110"/>
        <v>0</v>
      </c>
      <c r="AD327" s="683">
        <f t="shared" si="110"/>
        <v>0</v>
      </c>
      <c r="AE327" s="684">
        <f t="shared" si="100"/>
        <v>0</v>
      </c>
      <c r="AG327" s="663">
        <v>0</v>
      </c>
      <c r="AH327" s="663">
        <v>0</v>
      </c>
      <c r="AI327" s="663">
        <v>0</v>
      </c>
      <c r="AJ327" s="663">
        <v>0</v>
      </c>
      <c r="AK327" s="663">
        <v>0</v>
      </c>
      <c r="AL327" s="663">
        <v>0</v>
      </c>
      <c r="AM327" s="663">
        <v>0</v>
      </c>
      <c r="AN327" s="663">
        <v>0</v>
      </c>
      <c r="AO327" s="663">
        <v>0</v>
      </c>
      <c r="AP327" s="663">
        <v>0</v>
      </c>
      <c r="AQ327" s="663">
        <v>0</v>
      </c>
      <c r="AR327" s="663">
        <v>0</v>
      </c>
      <c r="AS327" s="685">
        <f t="shared" si="109"/>
        <v>0</v>
      </c>
      <c r="AU327" s="686">
        <f t="shared" si="88"/>
        <v>2</v>
      </c>
      <c r="AV327" s="665">
        <f t="shared" si="93"/>
        <v>0</v>
      </c>
      <c r="AW327" s="687">
        <f t="shared" si="89"/>
        <v>-1</v>
      </c>
      <c r="AX327" s="663">
        <f t="shared" si="90"/>
        <v>0</v>
      </c>
      <c r="AY327" s="713">
        <v>0</v>
      </c>
      <c r="BC327" s="688">
        <f t="shared" si="91"/>
        <v>0</v>
      </c>
    </row>
    <row r="328" spans="2:55" x14ac:dyDescent="0.25">
      <c r="B328" s="662" t="s">
        <v>1163</v>
      </c>
      <c r="C328" s="662" t="s">
        <v>939</v>
      </c>
      <c r="D328" s="663"/>
      <c r="F328" s="662">
        <v>1</v>
      </c>
      <c r="H328" s="662">
        <v>4</v>
      </c>
      <c r="I328" s="662">
        <v>2</v>
      </c>
      <c r="L328" s="662">
        <v>2</v>
      </c>
      <c r="M328" s="662">
        <v>2</v>
      </c>
      <c r="N328" s="662">
        <v>3</v>
      </c>
      <c r="O328" s="662">
        <v>2</v>
      </c>
      <c r="Q328" s="681">
        <f t="shared" ref="Q328:Q391" si="112">SUM(E328:P328)</f>
        <v>16</v>
      </c>
      <c r="T328" s="662">
        <v>2</v>
      </c>
      <c r="W328" s="683">
        <v>0</v>
      </c>
      <c r="X328" s="683">
        <v>0</v>
      </c>
      <c r="Y328" s="683">
        <v>0</v>
      </c>
      <c r="Z328" s="683">
        <v>0</v>
      </c>
      <c r="AA328" s="683">
        <v>0</v>
      </c>
      <c r="AB328" s="683">
        <v>0</v>
      </c>
      <c r="AC328" s="683">
        <v>0</v>
      </c>
      <c r="AD328" s="683">
        <v>0</v>
      </c>
      <c r="AE328" s="684">
        <f t="shared" si="100"/>
        <v>2</v>
      </c>
      <c r="AG328" s="663">
        <v>0</v>
      </c>
      <c r="AH328" s="663">
        <v>0</v>
      </c>
      <c r="AI328" s="663">
        <v>0</v>
      </c>
      <c r="AJ328" s="663">
        <v>0</v>
      </c>
      <c r="AK328" s="663">
        <v>0</v>
      </c>
      <c r="AL328" s="663">
        <v>0</v>
      </c>
      <c r="AM328" s="663">
        <v>0</v>
      </c>
      <c r="AN328" s="663">
        <v>0</v>
      </c>
      <c r="AO328" s="663">
        <v>0</v>
      </c>
      <c r="AP328" s="663">
        <v>0</v>
      </c>
      <c r="AQ328" s="663">
        <v>0</v>
      </c>
      <c r="AR328" s="663">
        <v>0</v>
      </c>
      <c r="AS328" s="685">
        <f t="shared" si="109"/>
        <v>0</v>
      </c>
      <c r="AU328" s="686">
        <f t="shared" ref="AU328:AU391" si="113">Q328</f>
        <v>16</v>
      </c>
      <c r="AV328" s="665">
        <f t="shared" si="93"/>
        <v>2</v>
      </c>
      <c r="AW328" s="687">
        <f t="shared" ref="AW328:AW391" si="114">(AV328/AU328)-1</f>
        <v>-0.875</v>
      </c>
      <c r="AX328" s="663">
        <f t="shared" ref="AX328:AX391" si="115">AS328</f>
        <v>0</v>
      </c>
      <c r="AY328" s="713">
        <f t="shared" ref="AY328:AY391" si="116">(AX328/AV328)-1</f>
        <v>-1</v>
      </c>
      <c r="BC328" s="688">
        <f t="shared" ref="BC328:BC391" si="117">(I328+J328+K328+L328+M328+N328+O328+P328+S328+T328+U328+V328)/365</f>
        <v>3.5616438356164383E-2</v>
      </c>
    </row>
    <row r="329" spans="2:55" x14ac:dyDescent="0.25">
      <c r="B329" s="662" t="s">
        <v>1164</v>
      </c>
      <c r="C329" s="662" t="s">
        <v>939</v>
      </c>
      <c r="D329" s="663" t="s">
        <v>1013</v>
      </c>
      <c r="Q329" s="681">
        <f t="shared" si="112"/>
        <v>0</v>
      </c>
      <c r="V329" s="662">
        <v>29</v>
      </c>
      <c r="W329" s="683">
        <v>20</v>
      </c>
      <c r="X329" s="683">
        <v>20</v>
      </c>
      <c r="Y329" s="683">
        <v>20</v>
      </c>
      <c r="Z329" s="683">
        <v>20</v>
      </c>
      <c r="AA329" s="683">
        <v>20</v>
      </c>
      <c r="AB329" s="683">
        <v>20</v>
      </c>
      <c r="AC329" s="683">
        <v>20</v>
      </c>
      <c r="AD329" s="683">
        <v>20</v>
      </c>
      <c r="AE329" s="684">
        <f t="shared" si="100"/>
        <v>189</v>
      </c>
      <c r="AG329" s="663">
        <v>20</v>
      </c>
      <c r="AH329" s="663">
        <v>20</v>
      </c>
      <c r="AI329" s="663">
        <v>20</v>
      </c>
      <c r="AJ329" s="663">
        <v>20</v>
      </c>
      <c r="AK329" s="663">
        <v>20</v>
      </c>
      <c r="AL329" s="663">
        <v>20</v>
      </c>
      <c r="AM329" s="663">
        <v>20</v>
      </c>
      <c r="AN329" s="663">
        <v>20</v>
      </c>
      <c r="AO329" s="663">
        <v>20</v>
      </c>
      <c r="AP329" s="663">
        <v>20</v>
      </c>
      <c r="AQ329" s="663">
        <v>20</v>
      </c>
      <c r="AR329" s="663">
        <v>20</v>
      </c>
      <c r="AS329" s="685">
        <f t="shared" si="109"/>
        <v>240</v>
      </c>
      <c r="AU329" s="686">
        <f t="shared" si="113"/>
        <v>0</v>
      </c>
      <c r="AV329" s="665">
        <f t="shared" si="93"/>
        <v>189</v>
      </c>
      <c r="AW329" s="687">
        <v>1</v>
      </c>
      <c r="AX329" s="663">
        <f t="shared" si="115"/>
        <v>240</v>
      </c>
      <c r="AY329" s="713">
        <f t="shared" si="116"/>
        <v>0.26984126984126977</v>
      </c>
      <c r="BC329" s="688">
        <f t="shared" si="117"/>
        <v>7.9452054794520555E-2</v>
      </c>
    </row>
    <row r="330" spans="2:55" x14ac:dyDescent="0.25">
      <c r="B330" s="662" t="s">
        <v>802</v>
      </c>
      <c r="C330" s="662" t="s">
        <v>932</v>
      </c>
      <c r="D330" s="663" t="s">
        <v>1013</v>
      </c>
      <c r="Q330" s="681">
        <f t="shared" si="112"/>
        <v>0</v>
      </c>
      <c r="V330" s="662">
        <v>1</v>
      </c>
      <c r="W330" s="683">
        <v>0</v>
      </c>
      <c r="X330" s="683">
        <v>0</v>
      </c>
      <c r="Y330" s="683">
        <v>0</v>
      </c>
      <c r="Z330" s="683">
        <v>1</v>
      </c>
      <c r="AA330" s="683">
        <v>0</v>
      </c>
      <c r="AB330" s="683">
        <v>0</v>
      </c>
      <c r="AC330" s="683">
        <v>0</v>
      </c>
      <c r="AD330" s="683">
        <v>1</v>
      </c>
      <c r="AE330" s="684">
        <f t="shared" si="100"/>
        <v>3</v>
      </c>
      <c r="AG330" s="663">
        <v>0</v>
      </c>
      <c r="AH330" s="663">
        <v>0</v>
      </c>
      <c r="AI330" s="663">
        <v>0</v>
      </c>
      <c r="AJ330" s="663">
        <v>1</v>
      </c>
      <c r="AK330" s="663">
        <v>0</v>
      </c>
      <c r="AL330" s="663">
        <v>0</v>
      </c>
      <c r="AM330" s="663">
        <v>0</v>
      </c>
      <c r="AN330" s="663">
        <v>1</v>
      </c>
      <c r="AO330" s="663">
        <v>0</v>
      </c>
      <c r="AP330" s="663">
        <v>0</v>
      </c>
      <c r="AQ330" s="663">
        <v>0</v>
      </c>
      <c r="AR330" s="663">
        <v>1</v>
      </c>
      <c r="AS330" s="685">
        <f t="shared" si="109"/>
        <v>3</v>
      </c>
      <c r="AU330" s="686">
        <f t="shared" si="113"/>
        <v>0</v>
      </c>
      <c r="AV330" s="665">
        <f t="shared" ref="AV330:AV393" si="118">AE330</f>
        <v>3</v>
      </c>
      <c r="AW330" s="687">
        <v>1</v>
      </c>
      <c r="AX330" s="663">
        <f t="shared" si="115"/>
        <v>3</v>
      </c>
      <c r="AY330" s="713">
        <f t="shared" si="116"/>
        <v>0</v>
      </c>
      <c r="BC330" s="688">
        <f t="shared" si="117"/>
        <v>2.7397260273972603E-3</v>
      </c>
    </row>
    <row r="331" spans="2:55" x14ac:dyDescent="0.25">
      <c r="C331" s="662" t="s">
        <v>939</v>
      </c>
      <c r="D331" s="663" t="s">
        <v>1013</v>
      </c>
      <c r="Q331" s="681">
        <f t="shared" si="112"/>
        <v>0</v>
      </c>
      <c r="V331" s="662">
        <v>8</v>
      </c>
      <c r="W331" s="683">
        <v>5</v>
      </c>
      <c r="X331" s="683">
        <v>5</v>
      </c>
      <c r="Y331" s="683">
        <v>5</v>
      </c>
      <c r="Z331" s="683">
        <v>5</v>
      </c>
      <c r="AA331" s="683">
        <v>5</v>
      </c>
      <c r="AB331" s="683">
        <v>5</v>
      </c>
      <c r="AC331" s="683">
        <v>5</v>
      </c>
      <c r="AD331" s="683">
        <v>5</v>
      </c>
      <c r="AE331" s="684">
        <f t="shared" si="100"/>
        <v>48</v>
      </c>
      <c r="AG331" s="663">
        <v>5</v>
      </c>
      <c r="AH331" s="663">
        <v>5</v>
      </c>
      <c r="AI331" s="663">
        <v>5</v>
      </c>
      <c r="AJ331" s="663">
        <v>5</v>
      </c>
      <c r="AK331" s="663">
        <v>5</v>
      </c>
      <c r="AL331" s="663">
        <v>5</v>
      </c>
      <c r="AM331" s="663">
        <v>5</v>
      </c>
      <c r="AN331" s="663">
        <v>5</v>
      </c>
      <c r="AO331" s="663">
        <v>5</v>
      </c>
      <c r="AP331" s="663">
        <v>5</v>
      </c>
      <c r="AQ331" s="663">
        <v>5</v>
      </c>
      <c r="AR331" s="663">
        <v>5</v>
      </c>
      <c r="AS331" s="685">
        <f t="shared" si="109"/>
        <v>60</v>
      </c>
      <c r="AU331" s="686">
        <f t="shared" si="113"/>
        <v>0</v>
      </c>
      <c r="AV331" s="665">
        <f t="shared" si="118"/>
        <v>48</v>
      </c>
      <c r="AW331" s="687">
        <v>1</v>
      </c>
      <c r="AX331" s="663">
        <f t="shared" si="115"/>
        <v>60</v>
      </c>
      <c r="AY331" s="713">
        <f t="shared" si="116"/>
        <v>0.25</v>
      </c>
      <c r="BC331" s="688">
        <f t="shared" si="117"/>
        <v>2.1917808219178082E-2</v>
      </c>
    </row>
    <row r="332" spans="2:55" x14ac:dyDescent="0.25">
      <c r="C332" s="662" t="s">
        <v>961</v>
      </c>
      <c r="D332" s="663" t="s">
        <v>1013</v>
      </c>
      <c r="Q332" s="681">
        <f t="shared" si="112"/>
        <v>0</v>
      </c>
      <c r="V332" s="662">
        <v>3</v>
      </c>
      <c r="W332" s="683">
        <v>0</v>
      </c>
      <c r="X332" s="683">
        <v>0</v>
      </c>
      <c r="Y332" s="683">
        <v>0</v>
      </c>
      <c r="Z332" s="683">
        <v>3</v>
      </c>
      <c r="AA332" s="683">
        <v>0</v>
      </c>
      <c r="AB332" s="683">
        <v>0</v>
      </c>
      <c r="AC332" s="683">
        <v>0</v>
      </c>
      <c r="AD332" s="683">
        <v>3</v>
      </c>
      <c r="AE332" s="684">
        <f t="shared" si="100"/>
        <v>9</v>
      </c>
      <c r="AG332" s="663">
        <v>1</v>
      </c>
      <c r="AH332" s="663">
        <v>1</v>
      </c>
      <c r="AI332" s="663">
        <v>1</v>
      </c>
      <c r="AJ332" s="663">
        <v>0</v>
      </c>
      <c r="AK332" s="663">
        <v>1</v>
      </c>
      <c r="AL332" s="663">
        <v>1</v>
      </c>
      <c r="AM332" s="663">
        <v>0</v>
      </c>
      <c r="AN332" s="663">
        <v>1</v>
      </c>
      <c r="AO332" s="663">
        <v>1</v>
      </c>
      <c r="AP332" s="663">
        <v>0</v>
      </c>
      <c r="AQ332" s="663">
        <v>1</v>
      </c>
      <c r="AR332" s="663">
        <v>1</v>
      </c>
      <c r="AS332" s="685">
        <f t="shared" si="109"/>
        <v>9</v>
      </c>
      <c r="AU332" s="686">
        <f t="shared" si="113"/>
        <v>0</v>
      </c>
      <c r="AV332" s="665">
        <f t="shared" si="118"/>
        <v>9</v>
      </c>
      <c r="AW332" s="687">
        <v>1</v>
      </c>
      <c r="AX332" s="663">
        <f t="shared" si="115"/>
        <v>9</v>
      </c>
      <c r="AY332" s="713">
        <f t="shared" si="116"/>
        <v>0</v>
      </c>
      <c r="BC332" s="688">
        <f t="shared" si="117"/>
        <v>8.21917808219178E-3</v>
      </c>
    </row>
    <row r="333" spans="2:55" x14ac:dyDescent="0.25">
      <c r="B333" s="662" t="s">
        <v>1165</v>
      </c>
      <c r="C333" s="662" t="s">
        <v>932</v>
      </c>
      <c r="D333" s="663"/>
      <c r="F333" s="662">
        <v>2</v>
      </c>
      <c r="I333" s="662">
        <v>1</v>
      </c>
      <c r="Q333" s="681">
        <f t="shared" si="112"/>
        <v>3</v>
      </c>
      <c r="S333" s="662">
        <v>1</v>
      </c>
      <c r="W333" s="683">
        <v>0</v>
      </c>
      <c r="X333" s="683">
        <v>0</v>
      </c>
      <c r="Y333" s="683">
        <v>0</v>
      </c>
      <c r="Z333" s="683">
        <v>0</v>
      </c>
      <c r="AA333" s="683">
        <v>0</v>
      </c>
      <c r="AB333" s="683">
        <v>0</v>
      </c>
      <c r="AC333" s="683">
        <v>0</v>
      </c>
      <c r="AD333" s="683">
        <v>0</v>
      </c>
      <c r="AE333" s="684">
        <f t="shared" si="100"/>
        <v>1</v>
      </c>
      <c r="AG333" s="663">
        <v>0</v>
      </c>
      <c r="AH333" s="663">
        <v>0</v>
      </c>
      <c r="AI333" s="663">
        <v>0</v>
      </c>
      <c r="AJ333" s="663">
        <v>0</v>
      </c>
      <c r="AK333" s="663">
        <v>0</v>
      </c>
      <c r="AL333" s="663">
        <v>0</v>
      </c>
      <c r="AM333" s="663">
        <v>0</v>
      </c>
      <c r="AN333" s="663">
        <v>0</v>
      </c>
      <c r="AO333" s="663">
        <v>0</v>
      </c>
      <c r="AP333" s="663">
        <v>0</v>
      </c>
      <c r="AQ333" s="663">
        <v>0</v>
      </c>
      <c r="AR333" s="663">
        <v>0</v>
      </c>
      <c r="AS333" s="685">
        <f t="shared" si="109"/>
        <v>0</v>
      </c>
      <c r="AU333" s="686">
        <f t="shared" si="113"/>
        <v>3</v>
      </c>
      <c r="AV333" s="665">
        <f t="shared" si="118"/>
        <v>1</v>
      </c>
      <c r="AW333" s="687">
        <f t="shared" si="114"/>
        <v>-0.66666666666666674</v>
      </c>
      <c r="AX333" s="663">
        <f t="shared" si="115"/>
        <v>0</v>
      </c>
      <c r="AY333" s="713">
        <f t="shared" si="116"/>
        <v>-1</v>
      </c>
      <c r="BC333" s="688">
        <f t="shared" si="117"/>
        <v>5.4794520547945206E-3</v>
      </c>
    </row>
    <row r="334" spans="2:55" x14ac:dyDescent="0.25">
      <c r="C334" s="662" t="s">
        <v>939</v>
      </c>
      <c r="D334" s="663"/>
      <c r="E334" s="662">
        <v>22</v>
      </c>
      <c r="F334" s="662">
        <v>30</v>
      </c>
      <c r="G334" s="662">
        <v>11</v>
      </c>
      <c r="H334" s="662">
        <v>15</v>
      </c>
      <c r="I334" s="662">
        <v>16</v>
      </c>
      <c r="J334" s="662">
        <v>9</v>
      </c>
      <c r="K334" s="662">
        <v>11</v>
      </c>
      <c r="L334" s="662">
        <v>13</v>
      </c>
      <c r="M334" s="662">
        <v>11</v>
      </c>
      <c r="N334" s="662">
        <v>14</v>
      </c>
      <c r="O334" s="662">
        <v>18</v>
      </c>
      <c r="P334" s="662">
        <v>12</v>
      </c>
      <c r="Q334" s="681">
        <f t="shared" si="112"/>
        <v>182</v>
      </c>
      <c r="S334" s="662">
        <v>21</v>
      </c>
      <c r="T334" s="662">
        <v>27</v>
      </c>
      <c r="U334" s="662">
        <v>13</v>
      </c>
      <c r="V334" s="662">
        <v>9</v>
      </c>
      <c r="W334" s="683">
        <v>16</v>
      </c>
      <c r="X334" s="683">
        <v>9</v>
      </c>
      <c r="Y334" s="683">
        <v>11</v>
      </c>
      <c r="Z334" s="683">
        <v>13</v>
      </c>
      <c r="AA334" s="683">
        <v>11</v>
      </c>
      <c r="AB334" s="683">
        <v>14</v>
      </c>
      <c r="AC334" s="683">
        <v>18</v>
      </c>
      <c r="AD334" s="683">
        <v>12</v>
      </c>
      <c r="AE334" s="684">
        <f t="shared" si="100"/>
        <v>174</v>
      </c>
      <c r="AG334" s="663">
        <v>15</v>
      </c>
      <c r="AH334" s="663">
        <v>15</v>
      </c>
      <c r="AI334" s="663">
        <v>15</v>
      </c>
      <c r="AJ334" s="663">
        <v>15</v>
      </c>
      <c r="AK334" s="663">
        <v>15</v>
      </c>
      <c r="AL334" s="663">
        <v>15</v>
      </c>
      <c r="AM334" s="663">
        <v>15</v>
      </c>
      <c r="AN334" s="663">
        <v>15</v>
      </c>
      <c r="AO334" s="663">
        <v>15</v>
      </c>
      <c r="AP334" s="663">
        <v>15</v>
      </c>
      <c r="AQ334" s="663">
        <v>15</v>
      </c>
      <c r="AR334" s="663">
        <v>15</v>
      </c>
      <c r="AS334" s="685">
        <f t="shared" si="109"/>
        <v>180</v>
      </c>
      <c r="AU334" s="686">
        <f t="shared" si="113"/>
        <v>182</v>
      </c>
      <c r="AV334" s="665">
        <f t="shared" si="118"/>
        <v>174</v>
      </c>
      <c r="AW334" s="687">
        <f t="shared" si="114"/>
        <v>-4.3956043956043911E-2</v>
      </c>
      <c r="AX334" s="663">
        <f t="shared" si="115"/>
        <v>180</v>
      </c>
      <c r="AY334" s="713">
        <f t="shared" si="116"/>
        <v>3.4482758620689724E-2</v>
      </c>
      <c r="BC334" s="688">
        <f t="shared" si="117"/>
        <v>0.47671232876712327</v>
      </c>
    </row>
    <row r="335" spans="2:55" x14ac:dyDescent="0.25">
      <c r="B335" s="662" t="s">
        <v>1166</v>
      </c>
      <c r="C335" s="662" t="s">
        <v>932</v>
      </c>
      <c r="D335" s="663"/>
      <c r="E335" s="662">
        <v>1</v>
      </c>
      <c r="N335" s="662">
        <v>1</v>
      </c>
      <c r="Q335" s="681">
        <f t="shared" si="112"/>
        <v>2</v>
      </c>
      <c r="T335" s="662">
        <v>1</v>
      </c>
      <c r="W335" s="683">
        <v>0</v>
      </c>
      <c r="X335" s="683">
        <v>0</v>
      </c>
      <c r="Y335" s="683">
        <v>0</v>
      </c>
      <c r="Z335" s="683">
        <v>0</v>
      </c>
      <c r="AA335" s="683">
        <v>0</v>
      </c>
      <c r="AB335" s="683">
        <v>0</v>
      </c>
      <c r="AC335" s="683">
        <v>0</v>
      </c>
      <c r="AD335" s="683">
        <v>0</v>
      </c>
      <c r="AE335" s="684">
        <f t="shared" ref="AE335:AE398" si="119">SUM(S335:AD335)</f>
        <v>1</v>
      </c>
      <c r="AG335" s="663">
        <v>0</v>
      </c>
      <c r="AH335" s="663">
        <v>0</v>
      </c>
      <c r="AI335" s="663">
        <v>1</v>
      </c>
      <c r="AJ335" s="663">
        <v>0</v>
      </c>
      <c r="AK335" s="663">
        <v>0</v>
      </c>
      <c r="AL335" s="663">
        <v>0</v>
      </c>
      <c r="AM335" s="663">
        <v>0</v>
      </c>
      <c r="AN335" s="663">
        <v>0</v>
      </c>
      <c r="AO335" s="663">
        <v>0</v>
      </c>
      <c r="AP335" s="663">
        <v>0</v>
      </c>
      <c r="AQ335" s="663">
        <v>0</v>
      </c>
      <c r="AR335" s="663">
        <v>0</v>
      </c>
      <c r="AS335" s="685">
        <f t="shared" si="109"/>
        <v>1</v>
      </c>
      <c r="AU335" s="686">
        <f t="shared" si="113"/>
        <v>2</v>
      </c>
      <c r="AV335" s="665">
        <f t="shared" si="118"/>
        <v>1</v>
      </c>
      <c r="AW335" s="687">
        <f t="shared" si="114"/>
        <v>-0.5</v>
      </c>
      <c r="AX335" s="663">
        <f t="shared" si="115"/>
        <v>1</v>
      </c>
      <c r="AY335" s="713">
        <f t="shared" si="116"/>
        <v>0</v>
      </c>
      <c r="BC335" s="688">
        <f t="shared" si="117"/>
        <v>5.4794520547945206E-3</v>
      </c>
    </row>
    <row r="336" spans="2:55" x14ac:dyDescent="0.25">
      <c r="C336" s="662" t="s">
        <v>939</v>
      </c>
      <c r="D336" s="663"/>
      <c r="E336" s="662">
        <v>10</v>
      </c>
      <c r="G336" s="662">
        <v>7</v>
      </c>
      <c r="H336" s="662">
        <v>1</v>
      </c>
      <c r="K336" s="662">
        <v>1</v>
      </c>
      <c r="N336" s="662">
        <v>4</v>
      </c>
      <c r="O336" s="662">
        <v>1</v>
      </c>
      <c r="P336" s="662">
        <v>9</v>
      </c>
      <c r="Q336" s="681">
        <f t="shared" si="112"/>
        <v>33</v>
      </c>
      <c r="T336" s="662">
        <v>5</v>
      </c>
      <c r="W336" s="683">
        <v>0</v>
      </c>
      <c r="X336" s="683">
        <v>0</v>
      </c>
      <c r="Y336" s="683">
        <v>1</v>
      </c>
      <c r="Z336" s="683">
        <v>0</v>
      </c>
      <c r="AA336" s="683">
        <v>0</v>
      </c>
      <c r="AB336" s="683">
        <v>4</v>
      </c>
      <c r="AC336" s="683">
        <v>1</v>
      </c>
      <c r="AD336" s="683">
        <v>9</v>
      </c>
      <c r="AE336" s="684">
        <f t="shared" si="119"/>
        <v>20</v>
      </c>
      <c r="AG336" s="663">
        <v>1</v>
      </c>
      <c r="AH336" s="663">
        <v>1</v>
      </c>
      <c r="AI336" s="663">
        <v>1</v>
      </c>
      <c r="AJ336" s="663">
        <v>1</v>
      </c>
      <c r="AK336" s="663">
        <v>1</v>
      </c>
      <c r="AL336" s="663">
        <v>1</v>
      </c>
      <c r="AM336" s="663">
        <v>1</v>
      </c>
      <c r="AN336" s="663">
        <v>1</v>
      </c>
      <c r="AO336" s="663">
        <v>1</v>
      </c>
      <c r="AP336" s="663">
        <v>1</v>
      </c>
      <c r="AQ336" s="663">
        <v>1</v>
      </c>
      <c r="AR336" s="663">
        <v>1</v>
      </c>
      <c r="AS336" s="685">
        <f t="shared" si="109"/>
        <v>12</v>
      </c>
      <c r="AU336" s="686">
        <f t="shared" si="113"/>
        <v>33</v>
      </c>
      <c r="AV336" s="665">
        <f t="shared" si="118"/>
        <v>20</v>
      </c>
      <c r="AW336" s="687">
        <f t="shared" si="114"/>
        <v>-0.39393939393939392</v>
      </c>
      <c r="AX336" s="663">
        <f t="shared" si="115"/>
        <v>12</v>
      </c>
      <c r="AY336" s="713">
        <f t="shared" si="116"/>
        <v>-0.4</v>
      </c>
      <c r="BC336" s="688">
        <f t="shared" si="117"/>
        <v>5.4794520547945202E-2</v>
      </c>
    </row>
    <row r="337" spans="2:55" x14ac:dyDescent="0.25">
      <c r="B337" s="662" t="s">
        <v>1167</v>
      </c>
      <c r="C337" s="662" t="s">
        <v>932</v>
      </c>
      <c r="D337" s="663"/>
      <c r="J337" s="662">
        <v>1</v>
      </c>
      <c r="K337" s="662">
        <v>3</v>
      </c>
      <c r="Q337" s="681">
        <f t="shared" si="112"/>
        <v>4</v>
      </c>
      <c r="T337" s="662">
        <v>2</v>
      </c>
      <c r="W337" s="683">
        <v>0</v>
      </c>
      <c r="X337" s="683">
        <v>0</v>
      </c>
      <c r="Y337" s="683">
        <v>0</v>
      </c>
      <c r="Z337" s="683">
        <v>0</v>
      </c>
      <c r="AA337" s="683">
        <v>0</v>
      </c>
      <c r="AB337" s="683">
        <v>1</v>
      </c>
      <c r="AC337" s="683">
        <v>0</v>
      </c>
      <c r="AD337" s="683">
        <v>1</v>
      </c>
      <c r="AE337" s="684">
        <f t="shared" si="119"/>
        <v>4</v>
      </c>
      <c r="AG337" s="663">
        <v>1</v>
      </c>
      <c r="AH337" s="663">
        <v>0</v>
      </c>
      <c r="AI337" s="663">
        <v>0</v>
      </c>
      <c r="AJ337" s="663">
        <v>1</v>
      </c>
      <c r="AK337" s="663">
        <v>0</v>
      </c>
      <c r="AL337" s="663">
        <v>0</v>
      </c>
      <c r="AM337" s="663">
        <v>0</v>
      </c>
      <c r="AN337" s="663">
        <v>1</v>
      </c>
      <c r="AO337" s="663">
        <v>0</v>
      </c>
      <c r="AP337" s="663">
        <v>0</v>
      </c>
      <c r="AQ337" s="663">
        <v>0</v>
      </c>
      <c r="AR337" s="663">
        <v>1</v>
      </c>
      <c r="AS337" s="685">
        <f t="shared" si="109"/>
        <v>4</v>
      </c>
      <c r="AU337" s="686">
        <f t="shared" si="113"/>
        <v>4</v>
      </c>
      <c r="AV337" s="665">
        <f t="shared" si="118"/>
        <v>4</v>
      </c>
      <c r="AW337" s="687">
        <f t="shared" si="114"/>
        <v>0</v>
      </c>
      <c r="AX337" s="663">
        <f t="shared" si="115"/>
        <v>4</v>
      </c>
      <c r="AY337" s="713">
        <f t="shared" si="116"/>
        <v>0</v>
      </c>
      <c r="BC337" s="688">
        <f t="shared" si="117"/>
        <v>1.643835616438356E-2</v>
      </c>
    </row>
    <row r="338" spans="2:55" x14ac:dyDescent="0.25">
      <c r="C338" s="662" t="s">
        <v>939</v>
      </c>
      <c r="D338" s="663"/>
      <c r="H338" s="662">
        <v>10</v>
      </c>
      <c r="I338" s="662">
        <v>33</v>
      </c>
      <c r="J338" s="662">
        <v>28</v>
      </c>
      <c r="K338" s="662">
        <v>33</v>
      </c>
      <c r="L338" s="662">
        <v>18</v>
      </c>
      <c r="M338" s="662">
        <v>30</v>
      </c>
      <c r="N338" s="662">
        <v>16</v>
      </c>
      <c r="O338" s="662">
        <v>19</v>
      </c>
      <c r="P338" s="662">
        <v>24</v>
      </c>
      <c r="Q338" s="681">
        <f t="shared" si="112"/>
        <v>211</v>
      </c>
      <c r="S338" s="662">
        <v>11</v>
      </c>
      <c r="T338" s="662">
        <v>24</v>
      </c>
      <c r="U338" s="662">
        <v>22</v>
      </c>
      <c r="V338" s="662">
        <v>16</v>
      </c>
      <c r="W338" s="683">
        <v>33</v>
      </c>
      <c r="X338" s="683">
        <v>28</v>
      </c>
      <c r="Y338" s="683">
        <v>33</v>
      </c>
      <c r="Z338" s="683">
        <v>18</v>
      </c>
      <c r="AA338" s="683">
        <v>30</v>
      </c>
      <c r="AB338" s="683">
        <v>16</v>
      </c>
      <c r="AC338" s="683">
        <v>19</v>
      </c>
      <c r="AD338" s="683">
        <v>24</v>
      </c>
      <c r="AE338" s="684">
        <f t="shared" si="119"/>
        <v>274</v>
      </c>
      <c r="AG338" s="663">
        <v>23</v>
      </c>
      <c r="AH338" s="663">
        <v>23</v>
      </c>
      <c r="AI338" s="663">
        <v>23</v>
      </c>
      <c r="AJ338" s="663">
        <v>23</v>
      </c>
      <c r="AK338" s="663">
        <v>23</v>
      </c>
      <c r="AL338" s="663">
        <v>23</v>
      </c>
      <c r="AM338" s="663">
        <v>23</v>
      </c>
      <c r="AN338" s="663">
        <v>23</v>
      </c>
      <c r="AO338" s="663">
        <v>23</v>
      </c>
      <c r="AP338" s="663">
        <v>23</v>
      </c>
      <c r="AQ338" s="663">
        <v>23</v>
      </c>
      <c r="AR338" s="663">
        <v>23</v>
      </c>
      <c r="AS338" s="685">
        <f t="shared" si="109"/>
        <v>276</v>
      </c>
      <c r="AU338" s="686">
        <f t="shared" si="113"/>
        <v>211</v>
      </c>
      <c r="AV338" s="665">
        <f t="shared" si="118"/>
        <v>274</v>
      </c>
      <c r="AW338" s="687">
        <f t="shared" si="114"/>
        <v>0.29857819905213279</v>
      </c>
      <c r="AX338" s="663">
        <f t="shared" si="115"/>
        <v>276</v>
      </c>
      <c r="AY338" s="713">
        <f t="shared" si="116"/>
        <v>7.2992700729928028E-3</v>
      </c>
      <c r="BC338" s="688">
        <f t="shared" si="117"/>
        <v>0.75068493150684934</v>
      </c>
    </row>
    <row r="339" spans="2:55" x14ac:dyDescent="0.25">
      <c r="B339" s="662" t="s">
        <v>1168</v>
      </c>
      <c r="C339" s="662" t="s">
        <v>939</v>
      </c>
      <c r="D339" s="663"/>
      <c r="E339" s="662">
        <v>14</v>
      </c>
      <c r="F339" s="662">
        <v>15</v>
      </c>
      <c r="G339" s="662">
        <v>13</v>
      </c>
      <c r="H339" s="662">
        <v>18</v>
      </c>
      <c r="I339" s="662">
        <v>13</v>
      </c>
      <c r="J339" s="662">
        <v>6</v>
      </c>
      <c r="K339" s="662">
        <v>7</v>
      </c>
      <c r="L339" s="662">
        <v>6</v>
      </c>
      <c r="M339" s="662">
        <v>13</v>
      </c>
      <c r="N339" s="662">
        <v>20</v>
      </c>
      <c r="O339" s="662">
        <v>9</v>
      </c>
      <c r="P339" s="662">
        <v>11</v>
      </c>
      <c r="Q339" s="681">
        <f t="shared" si="112"/>
        <v>145</v>
      </c>
      <c r="S339" s="662">
        <v>14</v>
      </c>
      <c r="T339" s="662">
        <v>22</v>
      </c>
      <c r="U339" s="662">
        <v>19</v>
      </c>
      <c r="V339" s="662">
        <v>15</v>
      </c>
      <c r="W339" s="683">
        <v>13</v>
      </c>
      <c r="X339" s="683">
        <v>6</v>
      </c>
      <c r="Y339" s="683">
        <v>7</v>
      </c>
      <c r="Z339" s="683">
        <v>6</v>
      </c>
      <c r="AA339" s="683">
        <v>13</v>
      </c>
      <c r="AB339" s="683">
        <v>20</v>
      </c>
      <c r="AC339" s="683">
        <v>9</v>
      </c>
      <c r="AD339" s="683">
        <v>11</v>
      </c>
      <c r="AE339" s="684">
        <f t="shared" si="119"/>
        <v>155</v>
      </c>
      <c r="AG339" s="663">
        <v>13</v>
      </c>
      <c r="AH339" s="663">
        <v>13</v>
      </c>
      <c r="AI339" s="663">
        <v>13</v>
      </c>
      <c r="AJ339" s="663">
        <v>13</v>
      </c>
      <c r="AK339" s="663">
        <v>13</v>
      </c>
      <c r="AL339" s="663">
        <v>13</v>
      </c>
      <c r="AM339" s="663">
        <v>13</v>
      </c>
      <c r="AN339" s="663">
        <v>13</v>
      </c>
      <c r="AO339" s="663">
        <v>13</v>
      </c>
      <c r="AP339" s="663">
        <v>13</v>
      </c>
      <c r="AQ339" s="663">
        <v>13</v>
      </c>
      <c r="AR339" s="663">
        <v>13</v>
      </c>
      <c r="AS339" s="685">
        <f t="shared" si="109"/>
        <v>156</v>
      </c>
      <c r="AU339" s="686">
        <f t="shared" si="113"/>
        <v>145</v>
      </c>
      <c r="AV339" s="665">
        <f t="shared" si="118"/>
        <v>155</v>
      </c>
      <c r="AW339" s="687">
        <f t="shared" si="114"/>
        <v>6.8965517241379226E-2</v>
      </c>
      <c r="AX339" s="663">
        <f t="shared" si="115"/>
        <v>156</v>
      </c>
      <c r="AY339" s="713">
        <f t="shared" si="116"/>
        <v>6.4516129032257119E-3</v>
      </c>
      <c r="BC339" s="688">
        <f t="shared" si="117"/>
        <v>0.42465753424657532</v>
      </c>
    </row>
    <row r="340" spans="2:55" x14ac:dyDescent="0.25">
      <c r="C340" s="662" t="s">
        <v>961</v>
      </c>
      <c r="D340" s="663"/>
      <c r="E340" s="662">
        <v>3</v>
      </c>
      <c r="F340" s="662">
        <v>8</v>
      </c>
      <c r="G340" s="662">
        <v>9</v>
      </c>
      <c r="H340" s="662">
        <v>4</v>
      </c>
      <c r="I340" s="662">
        <v>2</v>
      </c>
      <c r="J340" s="662">
        <v>1</v>
      </c>
      <c r="O340" s="662">
        <v>1</v>
      </c>
      <c r="Q340" s="681">
        <f t="shared" si="112"/>
        <v>28</v>
      </c>
      <c r="V340" s="662">
        <v>4</v>
      </c>
      <c r="W340" s="683">
        <v>2</v>
      </c>
      <c r="X340" s="683">
        <v>1</v>
      </c>
      <c r="Y340" s="683">
        <v>0</v>
      </c>
      <c r="Z340" s="683">
        <v>0</v>
      </c>
      <c r="AA340" s="683">
        <v>0</v>
      </c>
      <c r="AB340" s="683">
        <v>0</v>
      </c>
      <c r="AC340" s="683">
        <v>1</v>
      </c>
      <c r="AD340" s="683">
        <v>0</v>
      </c>
      <c r="AE340" s="684">
        <f t="shared" si="119"/>
        <v>8</v>
      </c>
      <c r="AG340" s="663">
        <v>1</v>
      </c>
      <c r="AH340" s="663">
        <v>1</v>
      </c>
      <c r="AI340" s="663">
        <v>0</v>
      </c>
      <c r="AJ340" s="663">
        <v>1</v>
      </c>
      <c r="AK340" s="663">
        <v>1</v>
      </c>
      <c r="AL340" s="663">
        <v>0</v>
      </c>
      <c r="AM340" s="663">
        <v>1</v>
      </c>
      <c r="AN340" s="663">
        <v>1</v>
      </c>
      <c r="AO340" s="663">
        <v>0</v>
      </c>
      <c r="AP340" s="663">
        <v>1</v>
      </c>
      <c r="AQ340" s="663">
        <v>1</v>
      </c>
      <c r="AR340" s="663">
        <v>0</v>
      </c>
      <c r="AS340" s="685">
        <f t="shared" si="109"/>
        <v>8</v>
      </c>
      <c r="AU340" s="686">
        <f t="shared" si="113"/>
        <v>28</v>
      </c>
      <c r="AV340" s="665">
        <f t="shared" si="118"/>
        <v>8</v>
      </c>
      <c r="AW340" s="687">
        <f t="shared" si="114"/>
        <v>-0.7142857142857143</v>
      </c>
      <c r="AX340" s="663">
        <f t="shared" si="115"/>
        <v>8</v>
      </c>
      <c r="AY340" s="713">
        <f t="shared" si="116"/>
        <v>0</v>
      </c>
      <c r="BC340" s="688">
        <f t="shared" si="117"/>
        <v>2.1917808219178082E-2</v>
      </c>
    </row>
    <row r="341" spans="2:55" x14ac:dyDescent="0.25">
      <c r="B341" s="662" t="s">
        <v>1169</v>
      </c>
      <c r="C341" s="662" t="s">
        <v>932</v>
      </c>
      <c r="D341" s="663"/>
      <c r="G341" s="662">
        <v>1</v>
      </c>
      <c r="H341" s="662">
        <v>2</v>
      </c>
      <c r="Q341" s="681">
        <f t="shared" si="112"/>
        <v>3</v>
      </c>
      <c r="S341" s="662">
        <v>3</v>
      </c>
      <c r="W341" s="683">
        <v>0</v>
      </c>
      <c r="X341" s="683">
        <v>0</v>
      </c>
      <c r="Y341" s="683">
        <v>0</v>
      </c>
      <c r="Z341" s="683">
        <v>0</v>
      </c>
      <c r="AA341" s="683">
        <v>0</v>
      </c>
      <c r="AB341" s="683">
        <v>0</v>
      </c>
      <c r="AC341" s="683">
        <v>0</v>
      </c>
      <c r="AD341" s="683">
        <v>0</v>
      </c>
      <c r="AE341" s="684">
        <f t="shared" si="119"/>
        <v>3</v>
      </c>
      <c r="AG341" s="663">
        <v>0</v>
      </c>
      <c r="AH341" s="663">
        <v>0</v>
      </c>
      <c r="AI341" s="663">
        <v>0</v>
      </c>
      <c r="AJ341" s="663">
        <v>0</v>
      </c>
      <c r="AK341" s="663">
        <v>0</v>
      </c>
      <c r="AL341" s="663">
        <v>0</v>
      </c>
      <c r="AM341" s="663">
        <v>0</v>
      </c>
      <c r="AN341" s="663">
        <v>0</v>
      </c>
      <c r="AO341" s="663">
        <v>0</v>
      </c>
      <c r="AP341" s="663">
        <v>0</v>
      </c>
      <c r="AQ341" s="663">
        <v>0</v>
      </c>
      <c r="AR341" s="663">
        <v>0</v>
      </c>
      <c r="AS341" s="685">
        <f t="shared" si="109"/>
        <v>0</v>
      </c>
      <c r="AU341" s="686">
        <f t="shared" si="113"/>
        <v>3</v>
      </c>
      <c r="AV341" s="665">
        <f t="shared" si="118"/>
        <v>3</v>
      </c>
      <c r="AW341" s="687">
        <f t="shared" si="114"/>
        <v>0</v>
      </c>
      <c r="AX341" s="663">
        <f t="shared" si="115"/>
        <v>0</v>
      </c>
      <c r="AY341" s="713">
        <f t="shared" si="116"/>
        <v>-1</v>
      </c>
      <c r="BC341" s="688">
        <f t="shared" si="117"/>
        <v>8.21917808219178E-3</v>
      </c>
    </row>
    <row r="342" spans="2:55" x14ac:dyDescent="0.25">
      <c r="C342" s="662" t="s">
        <v>939</v>
      </c>
      <c r="D342" s="663"/>
      <c r="E342" s="662">
        <v>3</v>
      </c>
      <c r="F342" s="662">
        <v>8</v>
      </c>
      <c r="G342" s="662">
        <v>44</v>
      </c>
      <c r="H342" s="662">
        <v>33</v>
      </c>
      <c r="I342" s="662">
        <v>19</v>
      </c>
      <c r="J342" s="662">
        <v>32</v>
      </c>
      <c r="K342" s="662">
        <v>26</v>
      </c>
      <c r="L342" s="662">
        <v>25</v>
      </c>
      <c r="M342" s="662">
        <v>30</v>
      </c>
      <c r="N342" s="662">
        <v>24</v>
      </c>
      <c r="O342" s="662">
        <v>35</v>
      </c>
      <c r="P342" s="662">
        <v>33</v>
      </c>
      <c r="Q342" s="681">
        <f t="shared" si="112"/>
        <v>312</v>
      </c>
      <c r="S342" s="662">
        <v>38</v>
      </c>
      <c r="T342" s="662">
        <v>45</v>
      </c>
      <c r="U342" s="662">
        <v>35</v>
      </c>
      <c r="V342" s="662">
        <v>26</v>
      </c>
      <c r="W342" s="683">
        <v>19</v>
      </c>
      <c r="X342" s="683">
        <v>32</v>
      </c>
      <c r="Y342" s="683">
        <v>26</v>
      </c>
      <c r="Z342" s="683">
        <v>25</v>
      </c>
      <c r="AA342" s="683">
        <v>30</v>
      </c>
      <c r="AB342" s="683">
        <v>24</v>
      </c>
      <c r="AC342" s="683">
        <v>35</v>
      </c>
      <c r="AD342" s="683">
        <v>33</v>
      </c>
      <c r="AE342" s="684">
        <f t="shared" si="119"/>
        <v>368</v>
      </c>
      <c r="AG342" s="663">
        <v>31</v>
      </c>
      <c r="AH342" s="663">
        <v>31</v>
      </c>
      <c r="AI342" s="663">
        <v>31</v>
      </c>
      <c r="AJ342" s="663">
        <v>31</v>
      </c>
      <c r="AK342" s="663">
        <v>31</v>
      </c>
      <c r="AL342" s="663">
        <v>31</v>
      </c>
      <c r="AM342" s="663">
        <v>31</v>
      </c>
      <c r="AN342" s="663">
        <v>31</v>
      </c>
      <c r="AO342" s="663">
        <v>31</v>
      </c>
      <c r="AP342" s="663">
        <v>31</v>
      </c>
      <c r="AQ342" s="663">
        <v>31</v>
      </c>
      <c r="AR342" s="663">
        <v>31</v>
      </c>
      <c r="AS342" s="685">
        <f t="shared" si="109"/>
        <v>372</v>
      </c>
      <c r="AU342" s="686">
        <f t="shared" si="113"/>
        <v>312</v>
      </c>
      <c r="AV342" s="665">
        <f t="shared" si="118"/>
        <v>368</v>
      </c>
      <c r="AW342" s="687">
        <f t="shared" si="114"/>
        <v>0.17948717948717952</v>
      </c>
      <c r="AX342" s="663">
        <f t="shared" si="115"/>
        <v>372</v>
      </c>
      <c r="AY342" s="713">
        <f t="shared" si="116"/>
        <v>1.0869565217391353E-2</v>
      </c>
      <c r="BC342" s="688">
        <f t="shared" si="117"/>
        <v>1.0082191780821919</v>
      </c>
    </row>
    <row r="343" spans="2:55" x14ac:dyDescent="0.25">
      <c r="C343" s="662" t="s">
        <v>961</v>
      </c>
      <c r="D343" s="663"/>
      <c r="H343" s="662">
        <v>6</v>
      </c>
      <c r="I343" s="662">
        <v>1</v>
      </c>
      <c r="J343" s="662">
        <v>7</v>
      </c>
      <c r="K343" s="662">
        <v>4</v>
      </c>
      <c r="L343" s="662">
        <v>3</v>
      </c>
      <c r="M343" s="662">
        <v>4</v>
      </c>
      <c r="N343" s="662">
        <v>2</v>
      </c>
      <c r="O343" s="662">
        <v>2</v>
      </c>
      <c r="Q343" s="681">
        <f t="shared" si="112"/>
        <v>29</v>
      </c>
      <c r="W343" s="683">
        <v>0</v>
      </c>
      <c r="X343" s="683">
        <v>0</v>
      </c>
      <c r="Y343" s="683">
        <v>0</v>
      </c>
      <c r="Z343" s="683">
        <v>0</v>
      </c>
      <c r="AA343" s="683">
        <v>0</v>
      </c>
      <c r="AB343" s="683">
        <v>0</v>
      </c>
      <c r="AC343" s="683">
        <v>0</v>
      </c>
      <c r="AD343" s="683">
        <v>0</v>
      </c>
      <c r="AE343" s="684">
        <f t="shared" si="119"/>
        <v>0</v>
      </c>
      <c r="AG343" s="663">
        <v>0</v>
      </c>
      <c r="AH343" s="663">
        <v>0</v>
      </c>
      <c r="AI343" s="663">
        <v>0</v>
      </c>
      <c r="AJ343" s="663">
        <v>0</v>
      </c>
      <c r="AK343" s="663">
        <v>0</v>
      </c>
      <c r="AL343" s="663">
        <v>0</v>
      </c>
      <c r="AM343" s="663">
        <v>0</v>
      </c>
      <c r="AN343" s="663">
        <v>0</v>
      </c>
      <c r="AO343" s="663">
        <v>0</v>
      </c>
      <c r="AP343" s="663">
        <v>0</v>
      </c>
      <c r="AQ343" s="663">
        <v>0</v>
      </c>
      <c r="AR343" s="663">
        <v>0</v>
      </c>
      <c r="AS343" s="685">
        <f t="shared" si="109"/>
        <v>0</v>
      </c>
      <c r="AU343" s="686">
        <f t="shared" si="113"/>
        <v>29</v>
      </c>
      <c r="AV343" s="665">
        <f t="shared" si="118"/>
        <v>0</v>
      </c>
      <c r="AW343" s="687">
        <f t="shared" si="114"/>
        <v>-1</v>
      </c>
      <c r="AX343" s="663">
        <f t="shared" si="115"/>
        <v>0</v>
      </c>
      <c r="AY343" s="713">
        <v>0</v>
      </c>
      <c r="BC343" s="688">
        <f t="shared" si="117"/>
        <v>6.3013698630136991E-2</v>
      </c>
    </row>
    <row r="344" spans="2:55" x14ac:dyDescent="0.25">
      <c r="B344" s="662" t="s">
        <v>1170</v>
      </c>
      <c r="C344" s="662" t="s">
        <v>932</v>
      </c>
      <c r="D344" s="663"/>
      <c r="E344" s="662">
        <v>3</v>
      </c>
      <c r="F344" s="662">
        <v>14</v>
      </c>
      <c r="G344" s="662">
        <v>3</v>
      </c>
      <c r="H344" s="662">
        <v>3</v>
      </c>
      <c r="I344" s="662">
        <v>4</v>
      </c>
      <c r="J344" s="662">
        <v>5</v>
      </c>
      <c r="K344" s="662">
        <v>8</v>
      </c>
      <c r="L344" s="662">
        <v>4</v>
      </c>
      <c r="M344" s="662">
        <v>11</v>
      </c>
      <c r="N344" s="662">
        <v>7</v>
      </c>
      <c r="O344" s="662">
        <v>3</v>
      </c>
      <c r="P344" s="662">
        <v>4</v>
      </c>
      <c r="Q344" s="681">
        <f t="shared" si="112"/>
        <v>69</v>
      </c>
      <c r="S344" s="662">
        <v>8</v>
      </c>
      <c r="U344" s="662">
        <v>2</v>
      </c>
      <c r="V344" s="662">
        <v>4</v>
      </c>
      <c r="W344" s="683">
        <v>4</v>
      </c>
      <c r="X344" s="683">
        <v>5</v>
      </c>
      <c r="Y344" s="683">
        <v>8</v>
      </c>
      <c r="Z344" s="683">
        <v>4</v>
      </c>
      <c r="AA344" s="683">
        <v>11</v>
      </c>
      <c r="AB344" s="683">
        <v>7</v>
      </c>
      <c r="AC344" s="683">
        <v>3</v>
      </c>
      <c r="AD344" s="683">
        <v>4</v>
      </c>
      <c r="AE344" s="684">
        <f t="shared" si="119"/>
        <v>60</v>
      </c>
      <c r="AG344" s="663">
        <v>5</v>
      </c>
      <c r="AH344" s="663">
        <v>5</v>
      </c>
      <c r="AI344" s="663">
        <v>5</v>
      </c>
      <c r="AJ344" s="663">
        <v>5</v>
      </c>
      <c r="AK344" s="663">
        <v>5</v>
      </c>
      <c r="AL344" s="663">
        <v>5</v>
      </c>
      <c r="AM344" s="663">
        <v>5</v>
      </c>
      <c r="AN344" s="663">
        <v>5</v>
      </c>
      <c r="AO344" s="663">
        <v>5</v>
      </c>
      <c r="AP344" s="663">
        <v>5</v>
      </c>
      <c r="AQ344" s="663">
        <v>5</v>
      </c>
      <c r="AR344" s="663">
        <v>5</v>
      </c>
      <c r="AS344" s="685">
        <f t="shared" si="109"/>
        <v>60</v>
      </c>
      <c r="AU344" s="686">
        <f t="shared" si="113"/>
        <v>69</v>
      </c>
      <c r="AV344" s="665">
        <f t="shared" si="118"/>
        <v>60</v>
      </c>
      <c r="AW344" s="687">
        <f t="shared" si="114"/>
        <v>-0.13043478260869568</v>
      </c>
      <c r="AX344" s="663">
        <f t="shared" si="115"/>
        <v>60</v>
      </c>
      <c r="AY344" s="713">
        <f t="shared" si="116"/>
        <v>0</v>
      </c>
      <c r="BC344" s="688">
        <f t="shared" si="117"/>
        <v>0.16438356164383561</v>
      </c>
    </row>
    <row r="345" spans="2:55" x14ac:dyDescent="0.25">
      <c r="C345" s="662" t="s">
        <v>939</v>
      </c>
      <c r="D345" s="663"/>
      <c r="E345" s="662">
        <v>5</v>
      </c>
      <c r="F345" s="662">
        <v>7</v>
      </c>
      <c r="G345" s="662">
        <v>1</v>
      </c>
      <c r="H345" s="662">
        <v>6</v>
      </c>
      <c r="I345" s="662">
        <v>7</v>
      </c>
      <c r="J345" s="662">
        <v>1</v>
      </c>
      <c r="K345" s="662">
        <v>4</v>
      </c>
      <c r="L345" s="662">
        <v>3</v>
      </c>
      <c r="M345" s="662">
        <v>7</v>
      </c>
      <c r="N345" s="662">
        <v>2</v>
      </c>
      <c r="O345" s="662">
        <v>7</v>
      </c>
      <c r="P345" s="662">
        <v>4</v>
      </c>
      <c r="Q345" s="681">
        <f t="shared" si="112"/>
        <v>54</v>
      </c>
      <c r="S345" s="662">
        <v>4</v>
      </c>
      <c r="T345" s="662">
        <v>6</v>
      </c>
      <c r="U345" s="662">
        <v>4</v>
      </c>
      <c r="V345" s="662">
        <v>3</v>
      </c>
      <c r="W345" s="683">
        <v>7</v>
      </c>
      <c r="X345" s="683">
        <v>1</v>
      </c>
      <c r="Y345" s="683">
        <v>4</v>
      </c>
      <c r="Z345" s="683">
        <v>3</v>
      </c>
      <c r="AA345" s="683">
        <v>7</v>
      </c>
      <c r="AB345" s="683">
        <v>2</v>
      </c>
      <c r="AC345" s="683">
        <v>7</v>
      </c>
      <c r="AD345" s="683">
        <v>4</v>
      </c>
      <c r="AE345" s="684">
        <f t="shared" si="119"/>
        <v>52</v>
      </c>
      <c r="AG345" s="663">
        <v>4</v>
      </c>
      <c r="AH345" s="663">
        <v>4</v>
      </c>
      <c r="AI345" s="663">
        <v>4</v>
      </c>
      <c r="AJ345" s="663">
        <v>4</v>
      </c>
      <c r="AK345" s="663">
        <v>4</v>
      </c>
      <c r="AL345" s="663">
        <v>4</v>
      </c>
      <c r="AM345" s="663">
        <v>4</v>
      </c>
      <c r="AN345" s="663">
        <v>4</v>
      </c>
      <c r="AO345" s="663">
        <v>4</v>
      </c>
      <c r="AP345" s="663">
        <v>4</v>
      </c>
      <c r="AQ345" s="663">
        <v>4</v>
      </c>
      <c r="AR345" s="663">
        <v>4</v>
      </c>
      <c r="AS345" s="685">
        <f t="shared" si="109"/>
        <v>48</v>
      </c>
      <c r="AU345" s="686">
        <f t="shared" si="113"/>
        <v>54</v>
      </c>
      <c r="AV345" s="665">
        <f t="shared" si="118"/>
        <v>52</v>
      </c>
      <c r="AW345" s="687">
        <f t="shared" si="114"/>
        <v>-3.703703703703709E-2</v>
      </c>
      <c r="AX345" s="663">
        <f t="shared" si="115"/>
        <v>48</v>
      </c>
      <c r="AY345" s="713">
        <f t="shared" si="116"/>
        <v>-7.6923076923076872E-2</v>
      </c>
      <c r="BC345" s="688">
        <f t="shared" si="117"/>
        <v>0.14246575342465753</v>
      </c>
    </row>
    <row r="346" spans="2:55" x14ac:dyDescent="0.25">
      <c r="C346" s="662" t="s">
        <v>961</v>
      </c>
      <c r="D346" s="663"/>
      <c r="E346" s="662">
        <v>90</v>
      </c>
      <c r="F346" s="662">
        <v>106</v>
      </c>
      <c r="G346" s="662">
        <v>81</v>
      </c>
      <c r="H346" s="662">
        <v>91</v>
      </c>
      <c r="I346" s="662">
        <v>94</v>
      </c>
      <c r="J346" s="662">
        <v>85</v>
      </c>
      <c r="K346" s="662">
        <v>64</v>
      </c>
      <c r="L346" s="662">
        <v>66</v>
      </c>
      <c r="M346" s="662">
        <v>58</v>
      </c>
      <c r="N346" s="662">
        <v>56</v>
      </c>
      <c r="O346" s="662">
        <v>50</v>
      </c>
      <c r="P346" s="662">
        <v>92</v>
      </c>
      <c r="Q346" s="681">
        <f t="shared" si="112"/>
        <v>933</v>
      </c>
      <c r="S346" s="662">
        <v>99</v>
      </c>
      <c r="T346" s="662">
        <v>98</v>
      </c>
      <c r="U346" s="662">
        <v>62</v>
      </c>
      <c r="V346" s="662">
        <v>109</v>
      </c>
      <c r="W346" s="683">
        <v>94</v>
      </c>
      <c r="X346" s="683">
        <v>85</v>
      </c>
      <c r="Y346" s="683">
        <v>64</v>
      </c>
      <c r="Z346" s="683">
        <v>66</v>
      </c>
      <c r="AA346" s="683">
        <v>58</v>
      </c>
      <c r="AB346" s="683">
        <v>56</v>
      </c>
      <c r="AC346" s="683">
        <v>50</v>
      </c>
      <c r="AD346" s="683">
        <v>92</v>
      </c>
      <c r="AE346" s="684">
        <f t="shared" si="119"/>
        <v>933</v>
      </c>
      <c r="AG346" s="663">
        <v>81</v>
      </c>
      <c r="AH346" s="663">
        <v>81</v>
      </c>
      <c r="AI346" s="663">
        <v>81</v>
      </c>
      <c r="AJ346" s="663">
        <v>81</v>
      </c>
      <c r="AK346" s="663">
        <v>81</v>
      </c>
      <c r="AL346" s="663">
        <v>81</v>
      </c>
      <c r="AM346" s="663">
        <v>81</v>
      </c>
      <c r="AN346" s="663">
        <v>81</v>
      </c>
      <c r="AO346" s="663">
        <v>81</v>
      </c>
      <c r="AP346" s="663">
        <v>81</v>
      </c>
      <c r="AQ346" s="663">
        <v>81</v>
      </c>
      <c r="AR346" s="663">
        <v>81</v>
      </c>
      <c r="AS346" s="685">
        <f>SUM(AG346:AR346)</f>
        <v>972</v>
      </c>
      <c r="AU346" s="686">
        <f t="shared" si="113"/>
        <v>933</v>
      </c>
      <c r="AV346" s="665">
        <f t="shared" si="118"/>
        <v>933</v>
      </c>
      <c r="AW346" s="687">
        <f t="shared" si="114"/>
        <v>0</v>
      </c>
      <c r="AX346" s="663">
        <f t="shared" si="115"/>
        <v>972</v>
      </c>
      <c r="AY346" s="713">
        <f t="shared" si="116"/>
        <v>4.1800643086816747E-2</v>
      </c>
      <c r="BC346" s="688">
        <f t="shared" si="117"/>
        <v>2.5561643835616437</v>
      </c>
    </row>
    <row r="347" spans="2:55" x14ac:dyDescent="0.25">
      <c r="C347" s="662" t="s">
        <v>1059</v>
      </c>
      <c r="D347" s="663"/>
      <c r="K347" s="662">
        <v>3</v>
      </c>
      <c r="L347" s="662">
        <v>8</v>
      </c>
      <c r="M347" s="662">
        <v>33</v>
      </c>
      <c r="N347" s="662">
        <v>22</v>
      </c>
      <c r="O347" s="662">
        <v>15</v>
      </c>
      <c r="Q347" s="681">
        <f t="shared" si="112"/>
        <v>81</v>
      </c>
      <c r="W347" s="683">
        <f t="shared" si="111"/>
        <v>6.6575342465753424</v>
      </c>
      <c r="X347" s="683">
        <f t="shared" si="111"/>
        <v>6.8794520547945206</v>
      </c>
      <c r="Y347" s="683">
        <f t="shared" si="110"/>
        <v>6.8794520547945206</v>
      </c>
      <c r="Z347" s="683">
        <f t="shared" si="110"/>
        <v>6.2136986301369861</v>
      </c>
      <c r="AA347" s="683">
        <f t="shared" si="110"/>
        <v>6.8794520547945206</v>
      </c>
      <c r="AB347" s="683">
        <f t="shared" si="110"/>
        <v>6.6575342465753424</v>
      </c>
      <c r="AC347" s="683">
        <f t="shared" si="110"/>
        <v>6.8794520547945206</v>
      </c>
      <c r="AD347" s="683">
        <f t="shared" si="110"/>
        <v>6.6575342465753424</v>
      </c>
      <c r="AE347" s="684">
        <f t="shared" si="119"/>
        <v>53.704109589041103</v>
      </c>
      <c r="AG347" s="663">
        <v>0</v>
      </c>
      <c r="AH347" s="663">
        <v>0</v>
      </c>
      <c r="AI347" s="663">
        <v>0</v>
      </c>
      <c r="AJ347" s="663">
        <v>0</v>
      </c>
      <c r="AK347" s="663">
        <v>0</v>
      </c>
      <c r="AL347" s="663">
        <v>0</v>
      </c>
      <c r="AM347" s="663">
        <v>0</v>
      </c>
      <c r="AN347" s="663">
        <v>0</v>
      </c>
      <c r="AO347" s="663">
        <v>0</v>
      </c>
      <c r="AP347" s="663">
        <v>0</v>
      </c>
      <c r="AQ347" s="663">
        <v>0</v>
      </c>
      <c r="AR347" s="663">
        <v>0</v>
      </c>
      <c r="AS347" s="685">
        <f t="shared" si="109"/>
        <v>0</v>
      </c>
      <c r="AU347" s="686">
        <f t="shared" si="113"/>
        <v>81</v>
      </c>
      <c r="AV347" s="665">
        <f t="shared" si="118"/>
        <v>53.704109589041103</v>
      </c>
      <c r="AW347" s="687">
        <f t="shared" si="114"/>
        <v>-0.33698630136986296</v>
      </c>
      <c r="AX347" s="663">
        <f t="shared" si="115"/>
        <v>0</v>
      </c>
      <c r="AY347" s="713">
        <f t="shared" si="116"/>
        <v>-1</v>
      </c>
      <c r="BC347" s="688">
        <f t="shared" si="117"/>
        <v>0.22191780821917809</v>
      </c>
    </row>
    <row r="348" spans="2:55" x14ac:dyDescent="0.25">
      <c r="B348" s="662" t="s">
        <v>1171</v>
      </c>
      <c r="C348" s="662" t="s">
        <v>932</v>
      </c>
      <c r="D348" s="663"/>
      <c r="E348" s="662">
        <v>1</v>
      </c>
      <c r="J348" s="662">
        <v>1</v>
      </c>
      <c r="K348" s="662">
        <v>3</v>
      </c>
      <c r="M348" s="662">
        <v>2</v>
      </c>
      <c r="N348" s="662">
        <v>2</v>
      </c>
      <c r="O348" s="662">
        <v>2</v>
      </c>
      <c r="P348" s="662">
        <v>1</v>
      </c>
      <c r="Q348" s="681">
        <f t="shared" si="112"/>
        <v>12</v>
      </c>
      <c r="U348" s="662">
        <v>2</v>
      </c>
      <c r="W348" s="683">
        <v>0</v>
      </c>
      <c r="X348" s="683">
        <v>1</v>
      </c>
      <c r="Y348" s="683">
        <v>3</v>
      </c>
      <c r="Z348" s="683">
        <v>0</v>
      </c>
      <c r="AA348" s="683">
        <v>2</v>
      </c>
      <c r="AB348" s="683">
        <v>2</v>
      </c>
      <c r="AC348" s="683">
        <v>1</v>
      </c>
      <c r="AD348" s="683">
        <v>1</v>
      </c>
      <c r="AE348" s="684">
        <f t="shared" si="119"/>
        <v>12</v>
      </c>
      <c r="AG348" s="663">
        <v>1</v>
      </c>
      <c r="AH348" s="663">
        <v>1</v>
      </c>
      <c r="AI348" s="663">
        <v>1</v>
      </c>
      <c r="AJ348" s="663">
        <v>1</v>
      </c>
      <c r="AK348" s="663">
        <v>1</v>
      </c>
      <c r="AL348" s="663">
        <v>1</v>
      </c>
      <c r="AM348" s="663">
        <v>1</v>
      </c>
      <c r="AN348" s="663">
        <v>1</v>
      </c>
      <c r="AO348" s="663">
        <v>1</v>
      </c>
      <c r="AP348" s="663">
        <v>1</v>
      </c>
      <c r="AQ348" s="663">
        <v>1</v>
      </c>
      <c r="AR348" s="663">
        <v>1</v>
      </c>
      <c r="AS348" s="685">
        <f t="shared" si="109"/>
        <v>12</v>
      </c>
      <c r="AU348" s="686">
        <f t="shared" si="113"/>
        <v>12</v>
      </c>
      <c r="AV348" s="665">
        <f t="shared" si="118"/>
        <v>12</v>
      </c>
      <c r="AW348" s="687">
        <f t="shared" si="114"/>
        <v>0</v>
      </c>
      <c r="AX348" s="663">
        <f t="shared" si="115"/>
        <v>12</v>
      </c>
      <c r="AY348" s="713">
        <f t="shared" si="116"/>
        <v>0</v>
      </c>
      <c r="BC348" s="688">
        <f t="shared" si="117"/>
        <v>3.5616438356164383E-2</v>
      </c>
    </row>
    <row r="349" spans="2:55" x14ac:dyDescent="0.25">
      <c r="C349" s="662" t="s">
        <v>939</v>
      </c>
      <c r="D349" s="663"/>
      <c r="F349" s="662">
        <v>1</v>
      </c>
      <c r="H349" s="662">
        <v>1</v>
      </c>
      <c r="K349" s="662">
        <v>4</v>
      </c>
      <c r="M349" s="662">
        <v>1</v>
      </c>
      <c r="P349" s="662">
        <v>2</v>
      </c>
      <c r="Q349" s="681">
        <f t="shared" si="112"/>
        <v>9</v>
      </c>
      <c r="S349" s="662">
        <v>1</v>
      </c>
      <c r="T349" s="662">
        <v>1</v>
      </c>
      <c r="W349" s="683">
        <v>0</v>
      </c>
      <c r="X349" s="683">
        <v>0</v>
      </c>
      <c r="Y349" s="683">
        <v>4</v>
      </c>
      <c r="Z349" s="683">
        <v>0</v>
      </c>
      <c r="AA349" s="683">
        <v>1</v>
      </c>
      <c r="AB349" s="683">
        <v>0</v>
      </c>
      <c r="AC349" s="683">
        <v>0</v>
      </c>
      <c r="AD349" s="683">
        <v>2</v>
      </c>
      <c r="AE349" s="684">
        <f t="shared" si="119"/>
        <v>9</v>
      </c>
      <c r="AG349" s="663">
        <v>1</v>
      </c>
      <c r="AH349" s="663">
        <v>1</v>
      </c>
      <c r="AI349" s="663">
        <v>0</v>
      </c>
      <c r="AJ349" s="663">
        <v>1</v>
      </c>
      <c r="AK349" s="663">
        <v>1</v>
      </c>
      <c r="AL349" s="663">
        <v>0</v>
      </c>
      <c r="AM349" s="663">
        <v>1</v>
      </c>
      <c r="AN349" s="663">
        <v>1</v>
      </c>
      <c r="AO349" s="663">
        <v>0</v>
      </c>
      <c r="AP349" s="663">
        <v>1</v>
      </c>
      <c r="AQ349" s="663">
        <v>1</v>
      </c>
      <c r="AR349" s="663">
        <v>1</v>
      </c>
      <c r="AS349" s="685">
        <f t="shared" si="109"/>
        <v>9</v>
      </c>
      <c r="AU349" s="686">
        <f t="shared" si="113"/>
        <v>9</v>
      </c>
      <c r="AV349" s="665">
        <f t="shared" si="118"/>
        <v>9</v>
      </c>
      <c r="AW349" s="687">
        <f t="shared" si="114"/>
        <v>0</v>
      </c>
      <c r="AX349" s="663">
        <f t="shared" si="115"/>
        <v>9</v>
      </c>
      <c r="AY349" s="713">
        <f t="shared" si="116"/>
        <v>0</v>
      </c>
      <c r="BC349" s="688">
        <f t="shared" si="117"/>
        <v>2.4657534246575342E-2</v>
      </c>
    </row>
    <row r="350" spans="2:55" x14ac:dyDescent="0.25">
      <c r="C350" s="662" t="s">
        <v>961</v>
      </c>
      <c r="D350" s="663"/>
      <c r="E350" s="662">
        <v>19</v>
      </c>
      <c r="F350" s="662">
        <v>46</v>
      </c>
      <c r="G350" s="662">
        <v>31</v>
      </c>
      <c r="H350" s="662">
        <v>50</v>
      </c>
      <c r="I350" s="662">
        <v>17</v>
      </c>
      <c r="J350" s="662">
        <v>27</v>
      </c>
      <c r="K350" s="662">
        <v>30</v>
      </c>
      <c r="L350" s="662">
        <v>30</v>
      </c>
      <c r="M350" s="662">
        <v>31</v>
      </c>
      <c r="N350" s="662">
        <v>33</v>
      </c>
      <c r="O350" s="662">
        <v>23</v>
      </c>
      <c r="P350" s="662">
        <v>32</v>
      </c>
      <c r="Q350" s="681">
        <f t="shared" si="112"/>
        <v>369</v>
      </c>
      <c r="S350" s="662">
        <v>36</v>
      </c>
      <c r="T350" s="662">
        <v>44</v>
      </c>
      <c r="U350" s="662">
        <v>31</v>
      </c>
      <c r="V350" s="662">
        <v>29</v>
      </c>
      <c r="W350" s="683">
        <v>17</v>
      </c>
      <c r="X350" s="683">
        <v>27</v>
      </c>
      <c r="Y350" s="683">
        <v>30</v>
      </c>
      <c r="Z350" s="683">
        <v>30</v>
      </c>
      <c r="AA350" s="683">
        <v>31</v>
      </c>
      <c r="AB350" s="683">
        <v>33</v>
      </c>
      <c r="AC350" s="683">
        <v>23</v>
      </c>
      <c r="AD350" s="683">
        <v>32</v>
      </c>
      <c r="AE350" s="684">
        <f t="shared" si="119"/>
        <v>363</v>
      </c>
      <c r="AG350" s="663">
        <v>32</v>
      </c>
      <c r="AH350" s="663">
        <v>32</v>
      </c>
      <c r="AI350" s="663">
        <v>32</v>
      </c>
      <c r="AJ350" s="663">
        <v>32</v>
      </c>
      <c r="AK350" s="663">
        <v>32</v>
      </c>
      <c r="AL350" s="663">
        <v>32</v>
      </c>
      <c r="AM350" s="663">
        <v>32</v>
      </c>
      <c r="AN350" s="663">
        <v>32</v>
      </c>
      <c r="AO350" s="663">
        <v>32</v>
      </c>
      <c r="AP350" s="663">
        <v>32</v>
      </c>
      <c r="AQ350" s="663">
        <v>32</v>
      </c>
      <c r="AR350" s="663">
        <v>32</v>
      </c>
      <c r="AS350" s="685">
        <f t="shared" si="109"/>
        <v>384</v>
      </c>
      <c r="AU350" s="686">
        <f t="shared" si="113"/>
        <v>369</v>
      </c>
      <c r="AV350" s="665">
        <f t="shared" si="118"/>
        <v>363</v>
      </c>
      <c r="AW350" s="687">
        <f t="shared" si="114"/>
        <v>-1.6260162601625994E-2</v>
      </c>
      <c r="AX350" s="663">
        <f t="shared" si="115"/>
        <v>384</v>
      </c>
      <c r="AY350" s="713">
        <f t="shared" si="116"/>
        <v>5.7851239669421517E-2</v>
      </c>
      <c r="BC350" s="688">
        <f t="shared" si="117"/>
        <v>0.9945205479452055</v>
      </c>
    </row>
    <row r="351" spans="2:55" x14ac:dyDescent="0.25">
      <c r="C351" s="662" t="s">
        <v>1059</v>
      </c>
      <c r="D351" s="663"/>
      <c r="K351" s="662">
        <v>3</v>
      </c>
      <c r="L351" s="662">
        <v>8</v>
      </c>
      <c r="N351" s="662">
        <v>8</v>
      </c>
      <c r="O351" s="662">
        <v>15</v>
      </c>
      <c r="Q351" s="681">
        <f t="shared" si="112"/>
        <v>34</v>
      </c>
      <c r="W351" s="683">
        <v>0</v>
      </c>
      <c r="X351" s="683">
        <v>0</v>
      </c>
      <c r="Y351" s="683">
        <v>0</v>
      </c>
      <c r="Z351" s="683">
        <v>0</v>
      </c>
      <c r="AA351" s="683">
        <v>0</v>
      </c>
      <c r="AB351" s="683">
        <v>0</v>
      </c>
      <c r="AC351" s="683">
        <v>0</v>
      </c>
      <c r="AD351" s="683">
        <v>0</v>
      </c>
      <c r="AE351" s="684">
        <f t="shared" si="119"/>
        <v>0</v>
      </c>
      <c r="AG351" s="663">
        <v>0</v>
      </c>
      <c r="AH351" s="663">
        <v>0</v>
      </c>
      <c r="AI351" s="663">
        <v>0</v>
      </c>
      <c r="AJ351" s="663">
        <v>0</v>
      </c>
      <c r="AK351" s="663">
        <v>0</v>
      </c>
      <c r="AL351" s="663">
        <v>0</v>
      </c>
      <c r="AM351" s="663">
        <v>0</v>
      </c>
      <c r="AN351" s="663">
        <v>0</v>
      </c>
      <c r="AO351" s="663">
        <v>0</v>
      </c>
      <c r="AP351" s="663">
        <v>0</v>
      </c>
      <c r="AQ351" s="663">
        <v>0</v>
      </c>
      <c r="AR351" s="663">
        <v>0</v>
      </c>
      <c r="AS351" s="685">
        <f t="shared" si="109"/>
        <v>0</v>
      </c>
      <c r="AU351" s="686">
        <f t="shared" si="113"/>
        <v>34</v>
      </c>
      <c r="AV351" s="665">
        <f t="shared" si="118"/>
        <v>0</v>
      </c>
      <c r="AW351" s="687">
        <f t="shared" si="114"/>
        <v>-1</v>
      </c>
      <c r="AX351" s="663">
        <f t="shared" si="115"/>
        <v>0</v>
      </c>
      <c r="AY351" s="713">
        <v>0</v>
      </c>
      <c r="BC351" s="688">
        <f t="shared" si="117"/>
        <v>9.3150684931506855E-2</v>
      </c>
    </row>
    <row r="352" spans="2:55" x14ac:dyDescent="0.25">
      <c r="B352" s="662" t="s">
        <v>1172</v>
      </c>
      <c r="C352" s="662" t="s">
        <v>939</v>
      </c>
      <c r="D352" s="663"/>
      <c r="E352" s="662">
        <v>3</v>
      </c>
      <c r="F352" s="662">
        <v>3</v>
      </c>
      <c r="G352" s="662">
        <v>3</v>
      </c>
      <c r="H352" s="662">
        <v>4</v>
      </c>
      <c r="I352" s="662">
        <v>3</v>
      </c>
      <c r="J352" s="662">
        <v>5</v>
      </c>
      <c r="K352" s="662">
        <v>5</v>
      </c>
      <c r="L352" s="662">
        <v>2</v>
      </c>
      <c r="M352" s="662">
        <v>4</v>
      </c>
      <c r="N352" s="662">
        <v>5</v>
      </c>
      <c r="O352" s="662">
        <v>5</v>
      </c>
      <c r="P352" s="662">
        <v>6</v>
      </c>
      <c r="Q352" s="681">
        <f t="shared" si="112"/>
        <v>48</v>
      </c>
      <c r="S352" s="662">
        <v>1</v>
      </c>
      <c r="T352" s="662">
        <v>4</v>
      </c>
      <c r="U352" s="662">
        <v>6</v>
      </c>
      <c r="V352" s="662">
        <v>6</v>
      </c>
      <c r="W352" s="683">
        <v>3</v>
      </c>
      <c r="X352" s="683">
        <v>5</v>
      </c>
      <c r="Y352" s="683">
        <v>5</v>
      </c>
      <c r="Z352" s="683">
        <v>2</v>
      </c>
      <c r="AA352" s="683">
        <v>4</v>
      </c>
      <c r="AB352" s="683">
        <v>5</v>
      </c>
      <c r="AC352" s="683">
        <v>5</v>
      </c>
      <c r="AD352" s="683">
        <v>6</v>
      </c>
      <c r="AE352" s="684">
        <f t="shared" si="119"/>
        <v>52</v>
      </c>
      <c r="AG352" s="663">
        <v>4</v>
      </c>
      <c r="AH352" s="663">
        <v>4</v>
      </c>
      <c r="AI352" s="663">
        <v>4</v>
      </c>
      <c r="AJ352" s="663">
        <v>4</v>
      </c>
      <c r="AK352" s="663">
        <v>4</v>
      </c>
      <c r="AL352" s="663">
        <v>4</v>
      </c>
      <c r="AM352" s="663">
        <v>4</v>
      </c>
      <c r="AN352" s="663">
        <v>4</v>
      </c>
      <c r="AO352" s="663">
        <v>4</v>
      </c>
      <c r="AP352" s="663">
        <v>4</v>
      </c>
      <c r="AQ352" s="663">
        <v>4</v>
      </c>
      <c r="AR352" s="663">
        <v>4</v>
      </c>
      <c r="AS352" s="685">
        <f t="shared" si="109"/>
        <v>48</v>
      </c>
      <c r="AU352" s="686">
        <f t="shared" si="113"/>
        <v>48</v>
      </c>
      <c r="AV352" s="665">
        <f t="shared" si="118"/>
        <v>52</v>
      </c>
      <c r="AW352" s="687">
        <f t="shared" si="114"/>
        <v>8.3333333333333259E-2</v>
      </c>
      <c r="AX352" s="663">
        <f t="shared" si="115"/>
        <v>48</v>
      </c>
      <c r="AY352" s="713">
        <f t="shared" si="116"/>
        <v>-7.6923076923076872E-2</v>
      </c>
      <c r="BC352" s="688">
        <f t="shared" si="117"/>
        <v>0.14246575342465753</v>
      </c>
    </row>
    <row r="353" spans="2:55" x14ac:dyDescent="0.25">
      <c r="C353" s="662" t="s">
        <v>961</v>
      </c>
      <c r="D353" s="663"/>
      <c r="E353" s="662">
        <v>16</v>
      </c>
      <c r="F353" s="662">
        <v>8</v>
      </c>
      <c r="G353" s="662">
        <v>7</v>
      </c>
      <c r="H353" s="662">
        <v>12</v>
      </c>
      <c r="I353" s="662">
        <v>5</v>
      </c>
      <c r="J353" s="662">
        <v>8</v>
      </c>
      <c r="K353" s="662">
        <v>11</v>
      </c>
      <c r="L353" s="662">
        <v>7</v>
      </c>
      <c r="M353" s="662">
        <v>8</v>
      </c>
      <c r="N353" s="662">
        <v>10</v>
      </c>
      <c r="P353" s="662">
        <v>6</v>
      </c>
      <c r="Q353" s="681">
        <f t="shared" si="112"/>
        <v>98</v>
      </c>
      <c r="S353" s="662">
        <v>9</v>
      </c>
      <c r="T353" s="662">
        <v>5</v>
      </c>
      <c r="U353" s="662">
        <v>7</v>
      </c>
      <c r="V353" s="662">
        <v>8</v>
      </c>
      <c r="W353" s="683">
        <v>5</v>
      </c>
      <c r="X353" s="683">
        <v>8</v>
      </c>
      <c r="Y353" s="683">
        <v>11</v>
      </c>
      <c r="Z353" s="683">
        <v>7</v>
      </c>
      <c r="AA353" s="683">
        <v>8</v>
      </c>
      <c r="AB353" s="683">
        <v>10</v>
      </c>
      <c r="AC353" s="683">
        <v>0</v>
      </c>
      <c r="AD353" s="683">
        <v>6</v>
      </c>
      <c r="AE353" s="684">
        <f t="shared" si="119"/>
        <v>84</v>
      </c>
      <c r="AG353" s="663">
        <v>7</v>
      </c>
      <c r="AH353" s="663">
        <v>7</v>
      </c>
      <c r="AI353" s="663">
        <v>7</v>
      </c>
      <c r="AJ353" s="663">
        <v>7</v>
      </c>
      <c r="AK353" s="663">
        <v>7</v>
      </c>
      <c r="AL353" s="663">
        <v>7</v>
      </c>
      <c r="AM353" s="663">
        <v>7</v>
      </c>
      <c r="AN353" s="663">
        <v>7</v>
      </c>
      <c r="AO353" s="663">
        <v>7</v>
      </c>
      <c r="AP353" s="663">
        <v>7</v>
      </c>
      <c r="AQ353" s="663">
        <v>7</v>
      </c>
      <c r="AR353" s="663">
        <v>7</v>
      </c>
      <c r="AS353" s="685">
        <f t="shared" si="109"/>
        <v>84</v>
      </c>
      <c r="AU353" s="686">
        <f t="shared" si="113"/>
        <v>98</v>
      </c>
      <c r="AV353" s="665">
        <f t="shared" si="118"/>
        <v>84</v>
      </c>
      <c r="AW353" s="687">
        <f t="shared" si="114"/>
        <v>-0.1428571428571429</v>
      </c>
      <c r="AX353" s="663">
        <f t="shared" si="115"/>
        <v>84</v>
      </c>
      <c r="AY353" s="713">
        <f t="shared" si="116"/>
        <v>0</v>
      </c>
      <c r="BC353" s="688">
        <f t="shared" si="117"/>
        <v>0.23013698630136986</v>
      </c>
    </row>
    <row r="354" spans="2:55" x14ac:dyDescent="0.25">
      <c r="B354" s="662" t="s">
        <v>1173</v>
      </c>
      <c r="C354" s="662" t="s">
        <v>939</v>
      </c>
      <c r="D354" s="663"/>
      <c r="E354" s="662">
        <v>9</v>
      </c>
      <c r="F354" s="662">
        <v>24</v>
      </c>
      <c r="G354" s="662">
        <v>21</v>
      </c>
      <c r="H354" s="662">
        <v>10</v>
      </c>
      <c r="I354" s="662">
        <v>15</v>
      </c>
      <c r="J354" s="662">
        <v>15</v>
      </c>
      <c r="K354" s="662">
        <v>11</v>
      </c>
      <c r="L354" s="662">
        <v>13</v>
      </c>
      <c r="M354" s="662">
        <v>10</v>
      </c>
      <c r="N354" s="662">
        <v>14</v>
      </c>
      <c r="O354" s="662">
        <v>18</v>
      </c>
      <c r="P354" s="662">
        <v>14</v>
      </c>
      <c r="Q354" s="681">
        <f t="shared" si="112"/>
        <v>174</v>
      </c>
      <c r="S354" s="662">
        <v>12</v>
      </c>
      <c r="T354" s="662">
        <v>7</v>
      </c>
      <c r="U354" s="662">
        <v>6</v>
      </c>
      <c r="V354" s="662">
        <v>4</v>
      </c>
      <c r="W354" s="683">
        <v>15</v>
      </c>
      <c r="X354" s="683">
        <v>15</v>
      </c>
      <c r="Y354" s="683">
        <v>11</v>
      </c>
      <c r="Z354" s="683">
        <v>13</v>
      </c>
      <c r="AA354" s="683">
        <v>10</v>
      </c>
      <c r="AB354" s="683">
        <v>14</v>
      </c>
      <c r="AC354" s="683">
        <v>18</v>
      </c>
      <c r="AD354" s="683">
        <v>14</v>
      </c>
      <c r="AE354" s="684">
        <f t="shared" si="119"/>
        <v>139</v>
      </c>
      <c r="AG354" s="663">
        <v>11</v>
      </c>
      <c r="AH354" s="663">
        <v>11</v>
      </c>
      <c r="AI354" s="663">
        <v>11</v>
      </c>
      <c r="AJ354" s="663">
        <v>11</v>
      </c>
      <c r="AK354" s="663">
        <v>11</v>
      </c>
      <c r="AL354" s="663">
        <v>11</v>
      </c>
      <c r="AM354" s="663">
        <v>11</v>
      </c>
      <c r="AN354" s="663">
        <v>11</v>
      </c>
      <c r="AO354" s="663">
        <v>11</v>
      </c>
      <c r="AP354" s="663">
        <v>11</v>
      </c>
      <c r="AQ354" s="663">
        <v>11</v>
      </c>
      <c r="AR354" s="663">
        <v>11</v>
      </c>
      <c r="AS354" s="685">
        <f t="shared" si="109"/>
        <v>132</v>
      </c>
      <c r="AU354" s="686">
        <f t="shared" si="113"/>
        <v>174</v>
      </c>
      <c r="AV354" s="665">
        <f t="shared" si="118"/>
        <v>139</v>
      </c>
      <c r="AW354" s="687">
        <f t="shared" si="114"/>
        <v>-0.20114942528735635</v>
      </c>
      <c r="AX354" s="663">
        <f t="shared" si="115"/>
        <v>132</v>
      </c>
      <c r="AY354" s="713">
        <f t="shared" si="116"/>
        <v>-5.0359712230215847E-2</v>
      </c>
      <c r="BC354" s="688">
        <f t="shared" si="117"/>
        <v>0.38082191780821917</v>
      </c>
    </row>
    <row r="355" spans="2:55" x14ac:dyDescent="0.25">
      <c r="C355" s="662" t="s">
        <v>961</v>
      </c>
      <c r="D355" s="663"/>
      <c r="L355" s="662">
        <v>1</v>
      </c>
      <c r="Q355" s="681">
        <f t="shared" si="112"/>
        <v>1</v>
      </c>
      <c r="W355" s="683">
        <v>0</v>
      </c>
      <c r="X355" s="683">
        <v>0</v>
      </c>
      <c r="Y355" s="683">
        <v>0</v>
      </c>
      <c r="Z355" s="683">
        <v>0</v>
      </c>
      <c r="AA355" s="683">
        <v>0</v>
      </c>
      <c r="AB355" s="683">
        <v>0</v>
      </c>
      <c r="AC355" s="683">
        <v>0</v>
      </c>
      <c r="AD355" s="683">
        <v>0</v>
      </c>
      <c r="AE355" s="684">
        <f t="shared" si="119"/>
        <v>0</v>
      </c>
      <c r="AG355" s="663">
        <v>0</v>
      </c>
      <c r="AH355" s="663">
        <v>0</v>
      </c>
      <c r="AI355" s="663">
        <v>0</v>
      </c>
      <c r="AJ355" s="663">
        <v>0</v>
      </c>
      <c r="AK355" s="663">
        <v>0</v>
      </c>
      <c r="AL355" s="663">
        <v>0</v>
      </c>
      <c r="AM355" s="663">
        <v>0</v>
      </c>
      <c r="AN355" s="663">
        <v>0</v>
      </c>
      <c r="AO355" s="663">
        <v>0</v>
      </c>
      <c r="AP355" s="663">
        <v>0</v>
      </c>
      <c r="AQ355" s="663">
        <v>0</v>
      </c>
      <c r="AR355" s="663">
        <v>0</v>
      </c>
      <c r="AS355" s="685">
        <f t="shared" si="109"/>
        <v>0</v>
      </c>
      <c r="AU355" s="686">
        <f t="shared" si="113"/>
        <v>1</v>
      </c>
      <c r="AV355" s="665">
        <f t="shared" si="118"/>
        <v>0</v>
      </c>
      <c r="AW355" s="687">
        <f t="shared" si="114"/>
        <v>-1</v>
      </c>
      <c r="AX355" s="663">
        <f t="shared" si="115"/>
        <v>0</v>
      </c>
      <c r="AY355" s="713">
        <v>0</v>
      </c>
      <c r="BC355" s="688">
        <f t="shared" si="117"/>
        <v>2.7397260273972603E-3</v>
      </c>
    </row>
    <row r="356" spans="2:55" x14ac:dyDescent="0.25">
      <c r="B356" s="662" t="s">
        <v>1174</v>
      </c>
      <c r="C356" s="662" t="s">
        <v>961</v>
      </c>
      <c r="D356" s="663"/>
      <c r="E356" s="662">
        <v>10</v>
      </c>
      <c r="F356" s="662">
        <v>14</v>
      </c>
      <c r="G356" s="662">
        <v>8</v>
      </c>
      <c r="H356" s="662">
        <v>19</v>
      </c>
      <c r="I356" s="662">
        <v>10</v>
      </c>
      <c r="J356" s="662">
        <v>13</v>
      </c>
      <c r="K356" s="662">
        <v>6</v>
      </c>
      <c r="L356" s="662">
        <v>11</v>
      </c>
      <c r="M356" s="662">
        <v>8</v>
      </c>
      <c r="N356" s="662">
        <v>5</v>
      </c>
      <c r="O356" s="662">
        <v>13</v>
      </c>
      <c r="P356" s="662">
        <v>12</v>
      </c>
      <c r="Q356" s="681">
        <f t="shared" si="112"/>
        <v>129</v>
      </c>
      <c r="S356" s="662">
        <v>6</v>
      </c>
      <c r="T356" s="662">
        <v>9</v>
      </c>
      <c r="U356" s="662">
        <v>8</v>
      </c>
      <c r="V356" s="662">
        <v>10</v>
      </c>
      <c r="W356" s="683">
        <v>10</v>
      </c>
      <c r="X356" s="683">
        <v>13</v>
      </c>
      <c r="Y356" s="683">
        <v>6</v>
      </c>
      <c r="Z356" s="683">
        <v>11</v>
      </c>
      <c r="AA356" s="683">
        <v>8</v>
      </c>
      <c r="AB356" s="683">
        <v>5</v>
      </c>
      <c r="AC356" s="683">
        <v>13</v>
      </c>
      <c r="AD356" s="683">
        <v>12</v>
      </c>
      <c r="AE356" s="684">
        <f t="shared" si="119"/>
        <v>111</v>
      </c>
      <c r="AG356" s="663">
        <v>9</v>
      </c>
      <c r="AH356" s="663">
        <v>9</v>
      </c>
      <c r="AI356" s="663">
        <v>9</v>
      </c>
      <c r="AJ356" s="663">
        <v>9</v>
      </c>
      <c r="AK356" s="663">
        <v>9</v>
      </c>
      <c r="AL356" s="663">
        <v>9</v>
      </c>
      <c r="AM356" s="663">
        <v>9</v>
      </c>
      <c r="AN356" s="663">
        <v>9</v>
      </c>
      <c r="AO356" s="663">
        <v>9</v>
      </c>
      <c r="AP356" s="663">
        <v>10</v>
      </c>
      <c r="AQ356" s="663">
        <v>10</v>
      </c>
      <c r="AR356" s="663">
        <v>10</v>
      </c>
      <c r="AS356" s="685">
        <f t="shared" si="109"/>
        <v>111</v>
      </c>
      <c r="AU356" s="686">
        <f t="shared" si="113"/>
        <v>129</v>
      </c>
      <c r="AV356" s="665">
        <f t="shared" si="118"/>
        <v>111</v>
      </c>
      <c r="AW356" s="687">
        <f t="shared" si="114"/>
        <v>-0.13953488372093026</v>
      </c>
      <c r="AX356" s="663">
        <f t="shared" si="115"/>
        <v>111</v>
      </c>
      <c r="AY356" s="713">
        <f t="shared" si="116"/>
        <v>0</v>
      </c>
      <c r="BC356" s="688">
        <f t="shared" si="117"/>
        <v>0.30410958904109592</v>
      </c>
    </row>
    <row r="357" spans="2:55" x14ac:dyDescent="0.25">
      <c r="B357" s="662" t="s">
        <v>1175</v>
      </c>
      <c r="C357" s="662" t="s">
        <v>939</v>
      </c>
      <c r="D357" s="663"/>
      <c r="E357" s="662">
        <v>12</v>
      </c>
      <c r="F357" s="662">
        <v>9</v>
      </c>
      <c r="G357" s="662">
        <v>14</v>
      </c>
      <c r="H357" s="662">
        <v>10</v>
      </c>
      <c r="I357" s="662">
        <v>15</v>
      </c>
      <c r="J357" s="662">
        <v>7</v>
      </c>
      <c r="K357" s="662">
        <v>11</v>
      </c>
      <c r="L357" s="662">
        <v>9</v>
      </c>
      <c r="M357" s="662">
        <v>8</v>
      </c>
      <c r="N357" s="662">
        <v>12</v>
      </c>
      <c r="O357" s="662">
        <v>14</v>
      </c>
      <c r="P357" s="662">
        <v>11</v>
      </c>
      <c r="Q357" s="681">
        <f t="shared" si="112"/>
        <v>132</v>
      </c>
      <c r="S357" s="662">
        <v>11</v>
      </c>
      <c r="T357" s="662">
        <v>5</v>
      </c>
      <c r="U357" s="662">
        <v>14</v>
      </c>
      <c r="V357" s="662">
        <v>9</v>
      </c>
      <c r="W357" s="683">
        <v>15</v>
      </c>
      <c r="X357" s="683">
        <v>7</v>
      </c>
      <c r="Y357" s="683">
        <v>11</v>
      </c>
      <c r="Z357" s="683">
        <v>9</v>
      </c>
      <c r="AA357" s="683">
        <v>8</v>
      </c>
      <c r="AB357" s="683">
        <v>12</v>
      </c>
      <c r="AC357" s="683">
        <v>14</v>
      </c>
      <c r="AD357" s="683">
        <v>11</v>
      </c>
      <c r="AE357" s="684">
        <f t="shared" si="119"/>
        <v>126</v>
      </c>
      <c r="AG357" s="663">
        <v>11</v>
      </c>
      <c r="AH357" s="663">
        <v>11</v>
      </c>
      <c r="AI357" s="663">
        <v>11</v>
      </c>
      <c r="AJ357" s="663">
        <v>11</v>
      </c>
      <c r="AK357" s="663">
        <v>11</v>
      </c>
      <c r="AL357" s="663">
        <v>11</v>
      </c>
      <c r="AM357" s="663">
        <v>11</v>
      </c>
      <c r="AN357" s="663">
        <v>11</v>
      </c>
      <c r="AO357" s="663">
        <v>11</v>
      </c>
      <c r="AP357" s="663">
        <v>11</v>
      </c>
      <c r="AQ357" s="663">
        <v>11</v>
      </c>
      <c r="AR357" s="663">
        <v>11</v>
      </c>
      <c r="AS357" s="685">
        <f t="shared" si="109"/>
        <v>132</v>
      </c>
      <c r="AU357" s="686">
        <f t="shared" si="113"/>
        <v>132</v>
      </c>
      <c r="AV357" s="665">
        <f t="shared" si="118"/>
        <v>126</v>
      </c>
      <c r="AW357" s="687">
        <f t="shared" si="114"/>
        <v>-4.5454545454545414E-2</v>
      </c>
      <c r="AX357" s="663">
        <f t="shared" si="115"/>
        <v>132</v>
      </c>
      <c r="AY357" s="713">
        <f t="shared" si="116"/>
        <v>4.7619047619047672E-2</v>
      </c>
      <c r="BC357" s="688">
        <f t="shared" si="117"/>
        <v>0.34520547945205482</v>
      </c>
    </row>
    <row r="358" spans="2:55" x14ac:dyDescent="0.25">
      <c r="B358" s="662" t="s">
        <v>1176</v>
      </c>
      <c r="C358" s="662" t="s">
        <v>932</v>
      </c>
      <c r="D358" s="663"/>
      <c r="I358" s="662">
        <v>1</v>
      </c>
      <c r="K358" s="662">
        <v>2</v>
      </c>
      <c r="M358" s="662">
        <v>1</v>
      </c>
      <c r="P358" s="662">
        <v>3</v>
      </c>
      <c r="Q358" s="681">
        <f t="shared" si="112"/>
        <v>7</v>
      </c>
      <c r="V358" s="662">
        <v>2</v>
      </c>
      <c r="W358" s="683">
        <v>0</v>
      </c>
      <c r="X358" s="683">
        <v>0</v>
      </c>
      <c r="Y358" s="683">
        <v>2</v>
      </c>
      <c r="Z358" s="683">
        <v>0</v>
      </c>
      <c r="AA358" s="683">
        <v>1</v>
      </c>
      <c r="AB358" s="683">
        <v>0</v>
      </c>
      <c r="AC358" s="683">
        <v>0</v>
      </c>
      <c r="AD358" s="683">
        <v>3</v>
      </c>
      <c r="AE358" s="684">
        <f t="shared" si="119"/>
        <v>8</v>
      </c>
      <c r="AG358" s="663">
        <v>1</v>
      </c>
      <c r="AH358" s="663">
        <v>1</v>
      </c>
      <c r="AI358" s="663">
        <v>0</v>
      </c>
      <c r="AJ358" s="663">
        <v>1</v>
      </c>
      <c r="AK358" s="663">
        <v>1</v>
      </c>
      <c r="AL358" s="663">
        <v>0</v>
      </c>
      <c r="AM358" s="663">
        <v>1</v>
      </c>
      <c r="AN358" s="663">
        <v>1</v>
      </c>
      <c r="AO358" s="663">
        <v>0</v>
      </c>
      <c r="AP358" s="663">
        <v>1</v>
      </c>
      <c r="AQ358" s="663">
        <v>1</v>
      </c>
      <c r="AR358" s="663">
        <v>0</v>
      </c>
      <c r="AS358" s="685">
        <f t="shared" si="109"/>
        <v>8</v>
      </c>
      <c r="AU358" s="686">
        <f t="shared" si="113"/>
        <v>7</v>
      </c>
      <c r="AV358" s="665">
        <f t="shared" si="118"/>
        <v>8</v>
      </c>
      <c r="AW358" s="687">
        <f t="shared" si="114"/>
        <v>0.14285714285714279</v>
      </c>
      <c r="AX358" s="663">
        <f t="shared" si="115"/>
        <v>8</v>
      </c>
      <c r="AY358" s="713">
        <f t="shared" si="116"/>
        <v>0</v>
      </c>
      <c r="BC358" s="688">
        <f t="shared" si="117"/>
        <v>2.4657534246575342E-2</v>
      </c>
    </row>
    <row r="359" spans="2:55" x14ac:dyDescent="0.25">
      <c r="C359" s="662" t="s">
        <v>939</v>
      </c>
      <c r="D359" s="663"/>
      <c r="E359" s="662">
        <v>3</v>
      </c>
      <c r="F359" s="662">
        <v>14</v>
      </c>
      <c r="H359" s="662">
        <v>14</v>
      </c>
      <c r="I359" s="662">
        <v>3</v>
      </c>
      <c r="K359" s="662">
        <v>5</v>
      </c>
      <c r="M359" s="662">
        <v>3</v>
      </c>
      <c r="N359" s="662">
        <v>2</v>
      </c>
      <c r="P359" s="662">
        <v>5</v>
      </c>
      <c r="Q359" s="681">
        <f t="shared" si="112"/>
        <v>49</v>
      </c>
      <c r="S359" s="662">
        <v>4</v>
      </c>
      <c r="T359" s="662">
        <v>9</v>
      </c>
      <c r="V359" s="662">
        <v>9</v>
      </c>
      <c r="W359" s="683">
        <v>3</v>
      </c>
      <c r="X359" s="683">
        <v>0</v>
      </c>
      <c r="Y359" s="683">
        <v>5</v>
      </c>
      <c r="Z359" s="683">
        <v>0</v>
      </c>
      <c r="AA359" s="683">
        <v>3</v>
      </c>
      <c r="AB359" s="683">
        <v>2</v>
      </c>
      <c r="AC359" s="683">
        <v>0</v>
      </c>
      <c r="AD359" s="683">
        <v>5</v>
      </c>
      <c r="AE359" s="684">
        <f t="shared" si="119"/>
        <v>40</v>
      </c>
      <c r="AG359" s="663">
        <v>3</v>
      </c>
      <c r="AH359" s="663">
        <v>3</v>
      </c>
      <c r="AI359" s="663">
        <v>3</v>
      </c>
      <c r="AJ359" s="663">
        <v>3</v>
      </c>
      <c r="AK359" s="663">
        <v>3</v>
      </c>
      <c r="AL359" s="663">
        <v>3</v>
      </c>
      <c r="AM359" s="663">
        <v>3</v>
      </c>
      <c r="AN359" s="663">
        <v>3</v>
      </c>
      <c r="AO359" s="663">
        <v>3</v>
      </c>
      <c r="AP359" s="663">
        <v>3</v>
      </c>
      <c r="AQ359" s="663">
        <v>3</v>
      </c>
      <c r="AR359" s="663">
        <v>3</v>
      </c>
      <c r="AS359" s="685">
        <f t="shared" si="109"/>
        <v>36</v>
      </c>
      <c r="AU359" s="686">
        <f t="shared" si="113"/>
        <v>49</v>
      </c>
      <c r="AV359" s="665">
        <f t="shared" si="118"/>
        <v>40</v>
      </c>
      <c r="AW359" s="687">
        <f t="shared" si="114"/>
        <v>-0.18367346938775508</v>
      </c>
      <c r="AX359" s="663">
        <f t="shared" si="115"/>
        <v>36</v>
      </c>
      <c r="AY359" s="713">
        <f t="shared" si="116"/>
        <v>-9.9999999999999978E-2</v>
      </c>
      <c r="BC359" s="688">
        <f t="shared" si="117"/>
        <v>0.1095890410958904</v>
      </c>
    </row>
    <row r="360" spans="2:55" x14ac:dyDescent="0.25">
      <c r="C360" s="662" t="s">
        <v>961</v>
      </c>
      <c r="D360" s="663"/>
      <c r="E360" s="662">
        <v>4</v>
      </c>
      <c r="F360" s="662">
        <v>7</v>
      </c>
      <c r="G360" s="662">
        <v>6</v>
      </c>
      <c r="H360" s="662">
        <v>7</v>
      </c>
      <c r="I360" s="662">
        <v>14</v>
      </c>
      <c r="J360" s="662">
        <v>9</v>
      </c>
      <c r="K360" s="662">
        <v>13</v>
      </c>
      <c r="L360" s="662">
        <v>13</v>
      </c>
      <c r="M360" s="662">
        <v>8</v>
      </c>
      <c r="N360" s="662">
        <v>11</v>
      </c>
      <c r="O360" s="662">
        <v>17</v>
      </c>
      <c r="P360" s="662">
        <v>13</v>
      </c>
      <c r="Q360" s="681">
        <f t="shared" si="112"/>
        <v>122</v>
      </c>
      <c r="S360" s="662">
        <v>12</v>
      </c>
      <c r="T360" s="662">
        <v>14</v>
      </c>
      <c r="U360" s="662">
        <v>12</v>
      </c>
      <c r="V360" s="662">
        <v>15</v>
      </c>
      <c r="W360" s="683">
        <v>14</v>
      </c>
      <c r="X360" s="683">
        <v>9</v>
      </c>
      <c r="Y360" s="683">
        <v>13</v>
      </c>
      <c r="Z360" s="683">
        <v>13</v>
      </c>
      <c r="AA360" s="683">
        <v>8</v>
      </c>
      <c r="AB360" s="683">
        <v>11</v>
      </c>
      <c r="AC360" s="683">
        <v>17</v>
      </c>
      <c r="AD360" s="683">
        <v>13</v>
      </c>
      <c r="AE360" s="684">
        <f t="shared" si="119"/>
        <v>151</v>
      </c>
      <c r="AG360" s="663">
        <v>13</v>
      </c>
      <c r="AH360" s="663">
        <v>13</v>
      </c>
      <c r="AI360" s="663">
        <v>13</v>
      </c>
      <c r="AJ360" s="663">
        <v>13</v>
      </c>
      <c r="AK360" s="663">
        <v>13</v>
      </c>
      <c r="AL360" s="663">
        <v>13</v>
      </c>
      <c r="AM360" s="663">
        <v>13</v>
      </c>
      <c r="AN360" s="663">
        <v>13</v>
      </c>
      <c r="AO360" s="663">
        <v>13</v>
      </c>
      <c r="AP360" s="663">
        <v>13</v>
      </c>
      <c r="AQ360" s="663">
        <v>13</v>
      </c>
      <c r="AR360" s="663">
        <v>13</v>
      </c>
      <c r="AS360" s="685">
        <f t="shared" si="109"/>
        <v>156</v>
      </c>
      <c r="AU360" s="686">
        <f t="shared" si="113"/>
        <v>122</v>
      </c>
      <c r="AV360" s="665">
        <f t="shared" si="118"/>
        <v>151</v>
      </c>
      <c r="AW360" s="687">
        <f t="shared" si="114"/>
        <v>0.23770491803278682</v>
      </c>
      <c r="AX360" s="663">
        <f t="shared" si="115"/>
        <v>156</v>
      </c>
      <c r="AY360" s="713">
        <f t="shared" si="116"/>
        <v>3.3112582781456901E-2</v>
      </c>
      <c r="BC360" s="688">
        <f t="shared" si="117"/>
        <v>0.41369863013698632</v>
      </c>
    </row>
    <row r="361" spans="2:55" x14ac:dyDescent="0.25">
      <c r="B361" s="662" t="s">
        <v>1177</v>
      </c>
      <c r="C361" s="662" t="s">
        <v>932</v>
      </c>
      <c r="D361" s="663"/>
      <c r="I361" s="662">
        <v>1</v>
      </c>
      <c r="Q361" s="681">
        <f t="shared" si="112"/>
        <v>1</v>
      </c>
      <c r="W361" s="683">
        <v>0</v>
      </c>
      <c r="X361" s="683">
        <v>0</v>
      </c>
      <c r="Y361" s="683">
        <v>0</v>
      </c>
      <c r="Z361" s="683">
        <v>0</v>
      </c>
      <c r="AA361" s="683">
        <v>0</v>
      </c>
      <c r="AB361" s="683">
        <v>0</v>
      </c>
      <c r="AC361" s="683">
        <v>0</v>
      </c>
      <c r="AD361" s="683">
        <v>0</v>
      </c>
      <c r="AE361" s="684">
        <f t="shared" si="119"/>
        <v>0</v>
      </c>
      <c r="AG361" s="663">
        <v>0</v>
      </c>
      <c r="AH361" s="663">
        <v>0</v>
      </c>
      <c r="AI361" s="663">
        <v>0</v>
      </c>
      <c r="AJ361" s="663">
        <v>0</v>
      </c>
      <c r="AK361" s="663">
        <v>0</v>
      </c>
      <c r="AL361" s="663">
        <v>0</v>
      </c>
      <c r="AM361" s="663">
        <v>0</v>
      </c>
      <c r="AN361" s="663">
        <v>0</v>
      </c>
      <c r="AO361" s="663">
        <v>0</v>
      </c>
      <c r="AP361" s="663">
        <v>0</v>
      </c>
      <c r="AQ361" s="663">
        <v>0</v>
      </c>
      <c r="AR361" s="663">
        <v>0</v>
      </c>
      <c r="AS361" s="685">
        <f t="shared" si="109"/>
        <v>0</v>
      </c>
      <c r="AU361" s="686">
        <f t="shared" si="113"/>
        <v>1</v>
      </c>
      <c r="AV361" s="665">
        <f t="shared" si="118"/>
        <v>0</v>
      </c>
      <c r="AW361" s="687">
        <f t="shared" si="114"/>
        <v>-1</v>
      </c>
      <c r="AX361" s="663">
        <f t="shared" si="115"/>
        <v>0</v>
      </c>
      <c r="AY361" s="713">
        <v>0</v>
      </c>
      <c r="BC361" s="688">
        <f t="shared" si="117"/>
        <v>2.7397260273972603E-3</v>
      </c>
    </row>
    <row r="362" spans="2:55" x14ac:dyDescent="0.25">
      <c r="C362" s="662" t="s">
        <v>939</v>
      </c>
      <c r="D362" s="663"/>
      <c r="G362" s="662">
        <v>10</v>
      </c>
      <c r="H362" s="662">
        <v>13</v>
      </c>
      <c r="I362" s="662">
        <v>7</v>
      </c>
      <c r="J362" s="662">
        <v>6</v>
      </c>
      <c r="K362" s="662">
        <v>7</v>
      </c>
      <c r="L362" s="662">
        <v>5</v>
      </c>
      <c r="M362" s="662">
        <v>3</v>
      </c>
      <c r="N362" s="662">
        <v>6</v>
      </c>
      <c r="O362" s="662">
        <v>6</v>
      </c>
      <c r="P362" s="662">
        <v>5</v>
      </c>
      <c r="Q362" s="681">
        <f t="shared" si="112"/>
        <v>68</v>
      </c>
      <c r="S362" s="662">
        <v>4</v>
      </c>
      <c r="T362" s="662">
        <v>7</v>
      </c>
      <c r="U362" s="662">
        <v>5</v>
      </c>
      <c r="W362" s="683">
        <v>7</v>
      </c>
      <c r="X362" s="683">
        <v>6</v>
      </c>
      <c r="Y362" s="683">
        <v>7</v>
      </c>
      <c r="Z362" s="683">
        <v>5</v>
      </c>
      <c r="AA362" s="683">
        <v>3</v>
      </c>
      <c r="AB362" s="683">
        <v>6</v>
      </c>
      <c r="AC362" s="683">
        <v>6</v>
      </c>
      <c r="AD362" s="683">
        <v>5</v>
      </c>
      <c r="AE362" s="684">
        <f t="shared" si="119"/>
        <v>61</v>
      </c>
      <c r="AG362" s="663">
        <v>5</v>
      </c>
      <c r="AH362" s="663">
        <v>5</v>
      </c>
      <c r="AI362" s="663">
        <v>5</v>
      </c>
      <c r="AJ362" s="663">
        <v>5</v>
      </c>
      <c r="AK362" s="663">
        <v>5</v>
      </c>
      <c r="AL362" s="663">
        <v>5</v>
      </c>
      <c r="AM362" s="663">
        <v>5</v>
      </c>
      <c r="AN362" s="663">
        <v>5</v>
      </c>
      <c r="AO362" s="663">
        <v>5</v>
      </c>
      <c r="AP362" s="663">
        <v>5</v>
      </c>
      <c r="AQ362" s="663">
        <v>5</v>
      </c>
      <c r="AR362" s="663">
        <v>5</v>
      </c>
      <c r="AS362" s="685">
        <f t="shared" si="109"/>
        <v>60</v>
      </c>
      <c r="AU362" s="686">
        <f t="shared" si="113"/>
        <v>68</v>
      </c>
      <c r="AV362" s="665">
        <f t="shared" si="118"/>
        <v>61</v>
      </c>
      <c r="AW362" s="687">
        <f t="shared" si="114"/>
        <v>-0.1029411764705882</v>
      </c>
      <c r="AX362" s="663">
        <f t="shared" si="115"/>
        <v>60</v>
      </c>
      <c r="AY362" s="713">
        <f t="shared" si="116"/>
        <v>-1.6393442622950838E-2</v>
      </c>
      <c r="BC362" s="688">
        <f t="shared" si="117"/>
        <v>0.16712328767123288</v>
      </c>
    </row>
    <row r="363" spans="2:55" x14ac:dyDescent="0.25">
      <c r="C363" s="662" t="s">
        <v>961</v>
      </c>
      <c r="D363" s="663"/>
      <c r="E363" s="662">
        <v>2</v>
      </c>
      <c r="G363" s="662">
        <v>1</v>
      </c>
      <c r="H363" s="662">
        <v>1</v>
      </c>
      <c r="J363" s="662">
        <v>1</v>
      </c>
      <c r="K363" s="662">
        <v>2</v>
      </c>
      <c r="M363" s="662">
        <v>1</v>
      </c>
      <c r="O363" s="662">
        <v>7</v>
      </c>
      <c r="P363" s="662">
        <v>3</v>
      </c>
      <c r="Q363" s="681">
        <f t="shared" si="112"/>
        <v>18</v>
      </c>
      <c r="S363" s="662">
        <v>1</v>
      </c>
      <c r="W363" s="683">
        <v>1</v>
      </c>
      <c r="X363" s="683">
        <v>0</v>
      </c>
      <c r="Y363" s="683">
        <v>0</v>
      </c>
      <c r="Z363" s="683">
        <v>0</v>
      </c>
      <c r="AA363" s="683">
        <v>1</v>
      </c>
      <c r="AB363" s="683">
        <v>0</v>
      </c>
      <c r="AC363" s="683">
        <v>0</v>
      </c>
      <c r="AD363" s="683">
        <v>0</v>
      </c>
      <c r="AE363" s="684">
        <f t="shared" si="119"/>
        <v>3</v>
      </c>
      <c r="AG363" s="663">
        <v>0</v>
      </c>
      <c r="AH363" s="663">
        <v>0</v>
      </c>
      <c r="AI363" s="663">
        <v>0</v>
      </c>
      <c r="AJ363" s="663">
        <v>0</v>
      </c>
      <c r="AK363" s="663">
        <v>0</v>
      </c>
      <c r="AL363" s="663">
        <v>0</v>
      </c>
      <c r="AM363" s="663">
        <v>0</v>
      </c>
      <c r="AN363" s="663">
        <v>0</v>
      </c>
      <c r="AO363" s="663">
        <v>0</v>
      </c>
      <c r="AP363" s="663">
        <v>0</v>
      </c>
      <c r="AQ363" s="663">
        <v>0</v>
      </c>
      <c r="AR363" s="663">
        <v>0</v>
      </c>
      <c r="AS363" s="685">
        <f t="shared" si="109"/>
        <v>0</v>
      </c>
      <c r="AU363" s="686">
        <f t="shared" si="113"/>
        <v>18</v>
      </c>
      <c r="AV363" s="665">
        <f t="shared" si="118"/>
        <v>3</v>
      </c>
      <c r="AW363" s="687">
        <f t="shared" si="114"/>
        <v>-0.83333333333333337</v>
      </c>
      <c r="AX363" s="663">
        <f t="shared" si="115"/>
        <v>0</v>
      </c>
      <c r="AY363" s="713">
        <f t="shared" si="116"/>
        <v>-1</v>
      </c>
      <c r="BC363" s="688">
        <f t="shared" si="117"/>
        <v>4.1095890410958902E-2</v>
      </c>
    </row>
    <row r="364" spans="2:55" x14ac:dyDescent="0.25">
      <c r="B364" s="662" t="s">
        <v>1178</v>
      </c>
      <c r="C364" s="662" t="s">
        <v>932</v>
      </c>
      <c r="D364" s="663"/>
      <c r="E364" s="662">
        <v>30</v>
      </c>
      <c r="F364" s="662">
        <v>22</v>
      </c>
      <c r="G364" s="662">
        <v>23</v>
      </c>
      <c r="H364" s="662">
        <v>16</v>
      </c>
      <c r="I364" s="662">
        <v>27</v>
      </c>
      <c r="J364" s="662">
        <v>33</v>
      </c>
      <c r="K364" s="662">
        <v>19</v>
      </c>
      <c r="L364" s="662">
        <v>15</v>
      </c>
      <c r="M364" s="662">
        <v>13</v>
      </c>
      <c r="N364" s="662">
        <v>19</v>
      </c>
      <c r="O364" s="662">
        <v>25</v>
      </c>
      <c r="P364" s="662">
        <v>26</v>
      </c>
      <c r="Q364" s="681">
        <f t="shared" si="112"/>
        <v>268</v>
      </c>
      <c r="S364" s="662">
        <v>31</v>
      </c>
      <c r="T364" s="662">
        <v>33</v>
      </c>
      <c r="U364" s="662">
        <v>26</v>
      </c>
      <c r="V364" s="662">
        <v>24</v>
      </c>
      <c r="W364" s="683">
        <v>27</v>
      </c>
      <c r="X364" s="683">
        <v>33</v>
      </c>
      <c r="Y364" s="683">
        <v>19</v>
      </c>
      <c r="Z364" s="683">
        <v>15</v>
      </c>
      <c r="AA364" s="683">
        <v>13</v>
      </c>
      <c r="AB364" s="683">
        <v>19</v>
      </c>
      <c r="AC364" s="683">
        <v>25</v>
      </c>
      <c r="AD364" s="683">
        <v>26</v>
      </c>
      <c r="AE364" s="684">
        <f t="shared" si="119"/>
        <v>291</v>
      </c>
      <c r="AG364" s="663">
        <v>25</v>
      </c>
      <c r="AH364" s="663">
        <v>25</v>
      </c>
      <c r="AI364" s="663">
        <v>25</v>
      </c>
      <c r="AJ364" s="663">
        <v>25</v>
      </c>
      <c r="AK364" s="663">
        <v>25</v>
      </c>
      <c r="AL364" s="663">
        <v>25</v>
      </c>
      <c r="AM364" s="663">
        <v>25</v>
      </c>
      <c r="AN364" s="663">
        <v>25</v>
      </c>
      <c r="AO364" s="663">
        <v>25</v>
      </c>
      <c r="AP364" s="663">
        <v>25</v>
      </c>
      <c r="AQ364" s="663">
        <v>25</v>
      </c>
      <c r="AR364" s="663">
        <v>25</v>
      </c>
      <c r="AS364" s="685">
        <f t="shared" si="109"/>
        <v>300</v>
      </c>
      <c r="AU364" s="686">
        <f t="shared" si="113"/>
        <v>268</v>
      </c>
      <c r="AV364" s="665">
        <f t="shared" si="118"/>
        <v>291</v>
      </c>
      <c r="AW364" s="687">
        <f t="shared" si="114"/>
        <v>8.582089552238803E-2</v>
      </c>
      <c r="AX364" s="663">
        <f t="shared" si="115"/>
        <v>300</v>
      </c>
      <c r="AY364" s="713">
        <f t="shared" si="116"/>
        <v>3.0927835051546282E-2</v>
      </c>
      <c r="BC364" s="688">
        <f t="shared" si="117"/>
        <v>0.79726027397260268</v>
      </c>
    </row>
    <row r="365" spans="2:55" x14ac:dyDescent="0.25">
      <c r="C365" s="662" t="s">
        <v>939</v>
      </c>
      <c r="D365" s="663"/>
      <c r="E365" s="662">
        <v>4</v>
      </c>
      <c r="F365" s="662">
        <v>5</v>
      </c>
      <c r="G365" s="662">
        <v>1</v>
      </c>
      <c r="H365" s="662">
        <v>9</v>
      </c>
      <c r="I365" s="662">
        <v>6</v>
      </c>
      <c r="L365" s="662">
        <v>6</v>
      </c>
      <c r="M365" s="662">
        <v>10</v>
      </c>
      <c r="N365" s="662">
        <v>3</v>
      </c>
      <c r="O365" s="662">
        <v>11</v>
      </c>
      <c r="P365" s="662">
        <v>2</v>
      </c>
      <c r="Q365" s="681">
        <f t="shared" si="112"/>
        <v>57</v>
      </c>
      <c r="S365" s="662">
        <v>12</v>
      </c>
      <c r="U365" s="662">
        <v>11</v>
      </c>
      <c r="V365" s="662">
        <v>3</v>
      </c>
      <c r="W365" s="683">
        <v>6</v>
      </c>
      <c r="X365" s="683">
        <v>0</v>
      </c>
      <c r="Y365" s="683">
        <v>0</v>
      </c>
      <c r="Z365" s="683">
        <v>6</v>
      </c>
      <c r="AA365" s="683">
        <v>10</v>
      </c>
      <c r="AB365" s="683">
        <v>3</v>
      </c>
      <c r="AC365" s="683">
        <v>11</v>
      </c>
      <c r="AD365" s="683">
        <v>2</v>
      </c>
      <c r="AE365" s="684">
        <f t="shared" si="119"/>
        <v>64</v>
      </c>
      <c r="AG365" s="663">
        <v>5</v>
      </c>
      <c r="AH365" s="663">
        <v>5</v>
      </c>
      <c r="AI365" s="663">
        <v>5</v>
      </c>
      <c r="AJ365" s="663">
        <v>5</v>
      </c>
      <c r="AK365" s="663">
        <v>5</v>
      </c>
      <c r="AL365" s="663">
        <v>5</v>
      </c>
      <c r="AM365" s="663">
        <v>5</v>
      </c>
      <c r="AN365" s="663">
        <v>5</v>
      </c>
      <c r="AO365" s="663">
        <v>5</v>
      </c>
      <c r="AP365" s="663">
        <v>5</v>
      </c>
      <c r="AQ365" s="663">
        <v>5</v>
      </c>
      <c r="AR365" s="663">
        <v>5</v>
      </c>
      <c r="AS365" s="685">
        <f t="shared" si="109"/>
        <v>60</v>
      </c>
      <c r="AU365" s="686">
        <f t="shared" si="113"/>
        <v>57</v>
      </c>
      <c r="AV365" s="665">
        <f t="shared" si="118"/>
        <v>64</v>
      </c>
      <c r="AW365" s="687">
        <f t="shared" si="114"/>
        <v>0.12280701754385959</v>
      </c>
      <c r="AX365" s="663">
        <f t="shared" si="115"/>
        <v>60</v>
      </c>
      <c r="AY365" s="713">
        <f t="shared" si="116"/>
        <v>-6.25E-2</v>
      </c>
      <c r="BC365" s="688">
        <f t="shared" si="117"/>
        <v>0.17534246575342466</v>
      </c>
    </row>
    <row r="366" spans="2:55" x14ac:dyDescent="0.25">
      <c r="C366" s="662" t="s">
        <v>961</v>
      </c>
      <c r="D366" s="663"/>
      <c r="Q366" s="681">
        <f t="shared" si="112"/>
        <v>0</v>
      </c>
      <c r="V366" s="662">
        <v>1</v>
      </c>
      <c r="W366" s="683">
        <v>0</v>
      </c>
      <c r="X366" s="683">
        <v>0</v>
      </c>
      <c r="Y366" s="683">
        <v>0</v>
      </c>
      <c r="Z366" s="683">
        <v>0</v>
      </c>
      <c r="AA366" s="683">
        <v>0</v>
      </c>
      <c r="AB366" s="683">
        <v>0</v>
      </c>
      <c r="AC366" s="683">
        <v>0</v>
      </c>
      <c r="AD366" s="683">
        <v>0</v>
      </c>
      <c r="AE366" s="684">
        <f t="shared" si="119"/>
        <v>1</v>
      </c>
      <c r="AG366" s="663">
        <v>0</v>
      </c>
      <c r="AH366" s="663">
        <v>0</v>
      </c>
      <c r="AI366" s="663">
        <v>0</v>
      </c>
      <c r="AJ366" s="663">
        <v>0</v>
      </c>
      <c r="AK366" s="663">
        <v>0</v>
      </c>
      <c r="AL366" s="663">
        <v>0</v>
      </c>
      <c r="AM366" s="663">
        <v>0</v>
      </c>
      <c r="AN366" s="663">
        <v>0</v>
      </c>
      <c r="AO366" s="663">
        <v>0</v>
      </c>
      <c r="AP366" s="663">
        <v>0</v>
      </c>
      <c r="AQ366" s="663">
        <v>0</v>
      </c>
      <c r="AR366" s="663">
        <v>0</v>
      </c>
      <c r="AS366" s="685">
        <f t="shared" si="109"/>
        <v>0</v>
      </c>
      <c r="AU366" s="686">
        <f t="shared" si="113"/>
        <v>0</v>
      </c>
      <c r="AV366" s="665">
        <f t="shared" si="118"/>
        <v>1</v>
      </c>
      <c r="AW366" s="687">
        <v>1</v>
      </c>
      <c r="AX366" s="663">
        <f t="shared" si="115"/>
        <v>0</v>
      </c>
      <c r="AY366" s="713">
        <f t="shared" si="116"/>
        <v>-1</v>
      </c>
      <c r="BC366" s="688">
        <f t="shared" si="117"/>
        <v>2.7397260273972603E-3</v>
      </c>
    </row>
    <row r="367" spans="2:55" x14ac:dyDescent="0.25">
      <c r="B367" s="662" t="s">
        <v>1179</v>
      </c>
      <c r="C367" s="662" t="s">
        <v>932</v>
      </c>
      <c r="D367" s="663"/>
      <c r="E367" s="662">
        <v>2</v>
      </c>
      <c r="G367" s="662">
        <v>1</v>
      </c>
      <c r="O367" s="662">
        <v>4</v>
      </c>
      <c r="P367" s="662">
        <v>1</v>
      </c>
      <c r="Q367" s="681">
        <f t="shared" si="112"/>
        <v>8</v>
      </c>
      <c r="U367" s="662">
        <v>1</v>
      </c>
      <c r="W367" s="683">
        <v>0</v>
      </c>
      <c r="X367" s="683">
        <v>0</v>
      </c>
      <c r="Y367" s="683">
        <v>0</v>
      </c>
      <c r="Z367" s="683">
        <v>0</v>
      </c>
      <c r="AA367" s="683">
        <v>0</v>
      </c>
      <c r="AB367" s="683">
        <v>0</v>
      </c>
      <c r="AC367" s="683">
        <v>0</v>
      </c>
      <c r="AD367" s="683">
        <v>0</v>
      </c>
      <c r="AE367" s="684">
        <f t="shared" si="119"/>
        <v>1</v>
      </c>
      <c r="AG367" s="663">
        <v>0</v>
      </c>
      <c r="AH367" s="663">
        <v>0</v>
      </c>
      <c r="AI367" s="663">
        <v>0</v>
      </c>
      <c r="AJ367" s="663">
        <v>0</v>
      </c>
      <c r="AK367" s="663">
        <v>0</v>
      </c>
      <c r="AL367" s="663">
        <v>0</v>
      </c>
      <c r="AM367" s="663">
        <v>0</v>
      </c>
      <c r="AN367" s="663">
        <v>0</v>
      </c>
      <c r="AO367" s="663">
        <v>0</v>
      </c>
      <c r="AP367" s="663">
        <v>0</v>
      </c>
      <c r="AQ367" s="663">
        <v>0</v>
      </c>
      <c r="AR367" s="663">
        <v>0</v>
      </c>
      <c r="AS367" s="685">
        <f t="shared" si="109"/>
        <v>0</v>
      </c>
      <c r="AU367" s="686">
        <f t="shared" si="113"/>
        <v>8</v>
      </c>
      <c r="AV367" s="665">
        <f t="shared" si="118"/>
        <v>1</v>
      </c>
      <c r="AW367" s="687">
        <f t="shared" si="114"/>
        <v>-0.875</v>
      </c>
      <c r="AX367" s="663">
        <f t="shared" si="115"/>
        <v>0</v>
      </c>
      <c r="AY367" s="713">
        <f t="shared" si="116"/>
        <v>-1</v>
      </c>
      <c r="BC367" s="688">
        <f t="shared" si="117"/>
        <v>1.643835616438356E-2</v>
      </c>
    </row>
    <row r="368" spans="2:55" x14ac:dyDescent="0.25">
      <c r="C368" s="662" t="s">
        <v>939</v>
      </c>
      <c r="D368" s="663"/>
      <c r="E368" s="662">
        <v>12</v>
      </c>
      <c r="G368" s="662">
        <v>4</v>
      </c>
      <c r="H368" s="662">
        <v>4</v>
      </c>
      <c r="J368" s="662">
        <v>8</v>
      </c>
      <c r="M368" s="662">
        <v>2</v>
      </c>
      <c r="N368" s="662">
        <v>11</v>
      </c>
      <c r="O368" s="662">
        <v>5</v>
      </c>
      <c r="Q368" s="681">
        <f t="shared" si="112"/>
        <v>46</v>
      </c>
      <c r="T368" s="662">
        <v>2</v>
      </c>
      <c r="U368" s="662">
        <v>11</v>
      </c>
      <c r="V368" s="662">
        <v>5</v>
      </c>
      <c r="W368" s="683">
        <v>0</v>
      </c>
      <c r="X368" s="683">
        <v>8</v>
      </c>
      <c r="Y368" s="683">
        <v>0</v>
      </c>
      <c r="Z368" s="683">
        <v>0</v>
      </c>
      <c r="AA368" s="683">
        <v>2</v>
      </c>
      <c r="AB368" s="683">
        <v>11</v>
      </c>
      <c r="AC368" s="683">
        <v>5</v>
      </c>
      <c r="AD368" s="683">
        <v>0</v>
      </c>
      <c r="AE368" s="684">
        <f t="shared" si="119"/>
        <v>44</v>
      </c>
      <c r="AG368" s="663">
        <v>3</v>
      </c>
      <c r="AH368" s="663">
        <v>3</v>
      </c>
      <c r="AI368" s="663">
        <v>3</v>
      </c>
      <c r="AJ368" s="663">
        <v>3</v>
      </c>
      <c r="AK368" s="663">
        <v>3</v>
      </c>
      <c r="AL368" s="663">
        <v>3</v>
      </c>
      <c r="AM368" s="663">
        <v>3</v>
      </c>
      <c r="AN368" s="663">
        <v>3</v>
      </c>
      <c r="AO368" s="663">
        <v>3</v>
      </c>
      <c r="AP368" s="663">
        <v>3</v>
      </c>
      <c r="AQ368" s="663">
        <v>3</v>
      </c>
      <c r="AR368" s="663">
        <v>3</v>
      </c>
      <c r="AS368" s="685">
        <f t="shared" si="109"/>
        <v>36</v>
      </c>
      <c r="AU368" s="686">
        <f t="shared" si="113"/>
        <v>46</v>
      </c>
      <c r="AV368" s="665">
        <f t="shared" si="118"/>
        <v>44</v>
      </c>
      <c r="AW368" s="687">
        <f t="shared" si="114"/>
        <v>-4.3478260869565188E-2</v>
      </c>
      <c r="AX368" s="663">
        <f t="shared" si="115"/>
        <v>36</v>
      </c>
      <c r="AY368" s="713">
        <f t="shared" si="116"/>
        <v>-0.18181818181818177</v>
      </c>
      <c r="BC368" s="688">
        <f t="shared" si="117"/>
        <v>0.12054794520547946</v>
      </c>
    </row>
    <row r="369" spans="1:55" x14ac:dyDescent="0.25">
      <c r="C369" s="662" t="s">
        <v>961</v>
      </c>
      <c r="D369" s="663"/>
      <c r="E369" s="662">
        <v>26</v>
      </c>
      <c r="F369" s="662">
        <v>19</v>
      </c>
      <c r="G369" s="662">
        <v>18</v>
      </c>
      <c r="H369" s="662">
        <v>27</v>
      </c>
      <c r="I369" s="662">
        <v>21</v>
      </c>
      <c r="J369" s="662">
        <v>26</v>
      </c>
      <c r="K369" s="662">
        <v>19</v>
      </c>
      <c r="L369" s="662">
        <v>20</v>
      </c>
      <c r="M369" s="662">
        <v>20</v>
      </c>
      <c r="N369" s="662">
        <v>31</v>
      </c>
      <c r="O369" s="662">
        <v>25</v>
      </c>
      <c r="P369" s="662">
        <v>25</v>
      </c>
      <c r="Q369" s="681">
        <f t="shared" si="112"/>
        <v>277</v>
      </c>
      <c r="S369" s="662">
        <v>18</v>
      </c>
      <c r="T369" s="662">
        <v>22</v>
      </c>
      <c r="U369" s="662">
        <v>24</v>
      </c>
      <c r="V369" s="662">
        <v>25</v>
      </c>
      <c r="W369" s="683">
        <v>21</v>
      </c>
      <c r="X369" s="683">
        <v>26</v>
      </c>
      <c r="Y369" s="683">
        <v>19</v>
      </c>
      <c r="Z369" s="683">
        <v>20</v>
      </c>
      <c r="AA369" s="683">
        <v>20</v>
      </c>
      <c r="AB369" s="683">
        <v>31</v>
      </c>
      <c r="AC369" s="683">
        <v>25</v>
      </c>
      <c r="AD369" s="683">
        <v>25</v>
      </c>
      <c r="AE369" s="684">
        <f t="shared" si="119"/>
        <v>276</v>
      </c>
      <c r="AG369" s="663">
        <v>23</v>
      </c>
      <c r="AH369" s="663">
        <v>23</v>
      </c>
      <c r="AI369" s="663">
        <v>23</v>
      </c>
      <c r="AJ369" s="663">
        <v>23</v>
      </c>
      <c r="AK369" s="663">
        <v>23</v>
      </c>
      <c r="AL369" s="663">
        <v>23</v>
      </c>
      <c r="AM369" s="663">
        <v>23</v>
      </c>
      <c r="AN369" s="663">
        <v>23</v>
      </c>
      <c r="AO369" s="663">
        <v>23</v>
      </c>
      <c r="AP369" s="663">
        <v>23</v>
      </c>
      <c r="AQ369" s="663">
        <v>23</v>
      </c>
      <c r="AR369" s="663">
        <v>23</v>
      </c>
      <c r="AS369" s="685">
        <f t="shared" si="109"/>
        <v>276</v>
      </c>
      <c r="AU369" s="686">
        <f t="shared" si="113"/>
        <v>277</v>
      </c>
      <c r="AV369" s="665">
        <f t="shared" si="118"/>
        <v>276</v>
      </c>
      <c r="AW369" s="687">
        <f t="shared" si="114"/>
        <v>-3.6101083032491488E-3</v>
      </c>
      <c r="AX369" s="663">
        <f t="shared" si="115"/>
        <v>276</v>
      </c>
      <c r="AY369" s="713">
        <f t="shared" si="116"/>
        <v>0</v>
      </c>
      <c r="BC369" s="688">
        <f t="shared" si="117"/>
        <v>0.75616438356164384</v>
      </c>
    </row>
    <row r="370" spans="1:55" x14ac:dyDescent="0.25">
      <c r="B370" s="662" t="s">
        <v>1180</v>
      </c>
      <c r="C370" s="662" t="s">
        <v>932</v>
      </c>
      <c r="D370" s="663"/>
      <c r="G370" s="662">
        <v>1</v>
      </c>
      <c r="M370" s="662">
        <v>1</v>
      </c>
      <c r="N370" s="662">
        <v>2</v>
      </c>
      <c r="O370" s="662">
        <v>1</v>
      </c>
      <c r="Q370" s="681">
        <f t="shared" si="112"/>
        <v>5</v>
      </c>
      <c r="W370" s="683">
        <v>0</v>
      </c>
      <c r="X370" s="683">
        <v>0</v>
      </c>
      <c r="Y370" s="683">
        <v>0</v>
      </c>
      <c r="Z370" s="683">
        <v>0</v>
      </c>
      <c r="AA370" s="683">
        <v>0</v>
      </c>
      <c r="AB370" s="683">
        <v>0</v>
      </c>
      <c r="AC370" s="683">
        <v>0</v>
      </c>
      <c r="AD370" s="683">
        <v>0</v>
      </c>
      <c r="AE370" s="684">
        <f t="shared" si="119"/>
        <v>0</v>
      </c>
      <c r="AG370" s="663">
        <v>0</v>
      </c>
      <c r="AH370" s="663">
        <v>0</v>
      </c>
      <c r="AI370" s="663">
        <v>0</v>
      </c>
      <c r="AJ370" s="663">
        <v>0</v>
      </c>
      <c r="AK370" s="663">
        <v>0</v>
      </c>
      <c r="AL370" s="663">
        <v>0</v>
      </c>
      <c r="AM370" s="663">
        <v>0</v>
      </c>
      <c r="AN370" s="663">
        <v>0</v>
      </c>
      <c r="AO370" s="663">
        <v>0</v>
      </c>
      <c r="AP370" s="663">
        <v>0</v>
      </c>
      <c r="AQ370" s="663">
        <v>0</v>
      </c>
      <c r="AR370" s="663">
        <v>0</v>
      </c>
      <c r="AS370" s="685">
        <f t="shared" si="109"/>
        <v>0</v>
      </c>
      <c r="AU370" s="686">
        <f t="shared" si="113"/>
        <v>5</v>
      </c>
      <c r="AV370" s="665">
        <f t="shared" si="118"/>
        <v>0</v>
      </c>
      <c r="AW370" s="687">
        <f t="shared" si="114"/>
        <v>-1</v>
      </c>
      <c r="AX370" s="663">
        <f t="shared" si="115"/>
        <v>0</v>
      </c>
      <c r="AY370" s="713">
        <v>0</v>
      </c>
      <c r="BC370" s="688">
        <f t="shared" si="117"/>
        <v>1.0958904109589041E-2</v>
      </c>
    </row>
    <row r="371" spans="1:55" x14ac:dyDescent="0.25">
      <c r="C371" s="662" t="s">
        <v>939</v>
      </c>
      <c r="D371" s="663"/>
      <c r="F371" s="662">
        <v>9</v>
      </c>
      <c r="H371" s="662">
        <v>1</v>
      </c>
      <c r="J371" s="662">
        <v>8</v>
      </c>
      <c r="K371" s="662">
        <v>11</v>
      </c>
      <c r="M371" s="662">
        <v>4</v>
      </c>
      <c r="N371" s="662">
        <v>9</v>
      </c>
      <c r="O371" s="662">
        <v>13</v>
      </c>
      <c r="Q371" s="681">
        <f t="shared" si="112"/>
        <v>55</v>
      </c>
      <c r="S371" s="662">
        <v>13</v>
      </c>
      <c r="V371" s="662">
        <v>2</v>
      </c>
      <c r="W371" s="683">
        <v>0</v>
      </c>
      <c r="X371" s="683">
        <v>8</v>
      </c>
      <c r="Y371" s="683">
        <v>11</v>
      </c>
      <c r="Z371" s="683">
        <v>0</v>
      </c>
      <c r="AA371" s="683">
        <v>4</v>
      </c>
      <c r="AB371" s="683">
        <v>9</v>
      </c>
      <c r="AC371" s="683">
        <v>13</v>
      </c>
      <c r="AD371" s="683">
        <v>0</v>
      </c>
      <c r="AE371" s="684">
        <f t="shared" si="119"/>
        <v>60</v>
      </c>
      <c r="AG371" s="663">
        <v>5</v>
      </c>
      <c r="AH371" s="663">
        <v>5</v>
      </c>
      <c r="AI371" s="663">
        <v>5</v>
      </c>
      <c r="AJ371" s="663">
        <v>5</v>
      </c>
      <c r="AK371" s="663">
        <v>5</v>
      </c>
      <c r="AL371" s="663">
        <v>5</v>
      </c>
      <c r="AM371" s="663">
        <v>5</v>
      </c>
      <c r="AN371" s="663">
        <v>5</v>
      </c>
      <c r="AO371" s="663">
        <v>5</v>
      </c>
      <c r="AP371" s="663">
        <v>5</v>
      </c>
      <c r="AQ371" s="663">
        <v>5</v>
      </c>
      <c r="AR371" s="663">
        <v>5</v>
      </c>
      <c r="AS371" s="685">
        <f t="shared" si="109"/>
        <v>60</v>
      </c>
      <c r="AU371" s="686">
        <f t="shared" si="113"/>
        <v>55</v>
      </c>
      <c r="AV371" s="665">
        <f t="shared" si="118"/>
        <v>60</v>
      </c>
      <c r="AW371" s="687">
        <f t="shared" si="114"/>
        <v>9.0909090909090828E-2</v>
      </c>
      <c r="AX371" s="663">
        <f t="shared" si="115"/>
        <v>60</v>
      </c>
      <c r="AY371" s="713">
        <f t="shared" si="116"/>
        <v>0</v>
      </c>
      <c r="BC371" s="688">
        <f t="shared" si="117"/>
        <v>0.16438356164383561</v>
      </c>
    </row>
    <row r="372" spans="1:55" x14ac:dyDescent="0.25">
      <c r="C372" s="662" t="s">
        <v>961</v>
      </c>
      <c r="D372" s="663"/>
      <c r="E372" s="662">
        <v>18</v>
      </c>
      <c r="F372" s="662">
        <v>24</v>
      </c>
      <c r="G372" s="662">
        <v>20</v>
      </c>
      <c r="H372" s="662">
        <v>18</v>
      </c>
      <c r="I372" s="662">
        <v>22</v>
      </c>
      <c r="J372" s="662">
        <v>16</v>
      </c>
      <c r="K372" s="662">
        <v>26</v>
      </c>
      <c r="L372" s="662">
        <v>22</v>
      </c>
      <c r="M372" s="662">
        <v>20</v>
      </c>
      <c r="N372" s="662">
        <v>26</v>
      </c>
      <c r="O372" s="662">
        <v>18</v>
      </c>
      <c r="P372" s="662">
        <v>28</v>
      </c>
      <c r="Q372" s="681">
        <f t="shared" si="112"/>
        <v>258</v>
      </c>
      <c r="S372" s="662">
        <v>14</v>
      </c>
      <c r="T372" s="662">
        <v>34</v>
      </c>
      <c r="U372" s="662">
        <v>23</v>
      </c>
      <c r="V372" s="662">
        <v>23</v>
      </c>
      <c r="W372" s="683">
        <v>22</v>
      </c>
      <c r="X372" s="683">
        <v>16</v>
      </c>
      <c r="Y372" s="683">
        <v>26</v>
      </c>
      <c r="Z372" s="683">
        <v>22</v>
      </c>
      <c r="AA372" s="683">
        <v>20</v>
      </c>
      <c r="AB372" s="683">
        <v>26</v>
      </c>
      <c r="AC372" s="683">
        <v>18</v>
      </c>
      <c r="AD372" s="683">
        <v>28</v>
      </c>
      <c r="AE372" s="684">
        <f t="shared" si="119"/>
        <v>272</v>
      </c>
      <c r="AG372" s="663">
        <v>23</v>
      </c>
      <c r="AH372" s="663">
        <v>23</v>
      </c>
      <c r="AI372" s="663">
        <v>23</v>
      </c>
      <c r="AJ372" s="663">
        <v>23</v>
      </c>
      <c r="AK372" s="663">
        <v>23</v>
      </c>
      <c r="AL372" s="663">
        <v>23</v>
      </c>
      <c r="AM372" s="663">
        <v>23</v>
      </c>
      <c r="AN372" s="663">
        <v>23</v>
      </c>
      <c r="AO372" s="663">
        <v>23</v>
      </c>
      <c r="AP372" s="663">
        <v>23</v>
      </c>
      <c r="AQ372" s="663">
        <v>23</v>
      </c>
      <c r="AR372" s="663">
        <v>23</v>
      </c>
      <c r="AS372" s="685">
        <f t="shared" si="109"/>
        <v>276</v>
      </c>
      <c r="AU372" s="686">
        <f t="shared" si="113"/>
        <v>258</v>
      </c>
      <c r="AV372" s="665">
        <f t="shared" si="118"/>
        <v>272</v>
      </c>
      <c r="AW372" s="687">
        <f t="shared" si="114"/>
        <v>5.4263565891472965E-2</v>
      </c>
      <c r="AX372" s="663">
        <f t="shared" si="115"/>
        <v>276</v>
      </c>
      <c r="AY372" s="713">
        <f t="shared" si="116"/>
        <v>1.4705882352941124E-2</v>
      </c>
      <c r="BC372" s="688">
        <f t="shared" si="117"/>
        <v>0.74520547945205484</v>
      </c>
    </row>
    <row r="373" spans="1:55" x14ac:dyDescent="0.25">
      <c r="B373" s="662" t="s">
        <v>1181</v>
      </c>
      <c r="C373" s="662" t="s">
        <v>939</v>
      </c>
      <c r="D373" s="663" t="s">
        <v>274</v>
      </c>
      <c r="F373" s="662">
        <v>6</v>
      </c>
      <c r="H373" s="662">
        <v>3</v>
      </c>
      <c r="M373" s="662">
        <v>1</v>
      </c>
      <c r="Q373" s="681">
        <f t="shared" si="112"/>
        <v>10</v>
      </c>
      <c r="W373" s="683">
        <v>0</v>
      </c>
      <c r="X373" s="683">
        <v>0</v>
      </c>
      <c r="Y373" s="683">
        <v>0</v>
      </c>
      <c r="Z373" s="683">
        <v>0</v>
      </c>
      <c r="AA373" s="683">
        <v>0</v>
      </c>
      <c r="AB373" s="683">
        <v>0</v>
      </c>
      <c r="AC373" s="683">
        <v>0</v>
      </c>
      <c r="AD373" s="683">
        <v>0</v>
      </c>
      <c r="AE373" s="684">
        <f t="shared" si="119"/>
        <v>0</v>
      </c>
      <c r="AG373" s="663">
        <v>0</v>
      </c>
      <c r="AH373" s="663">
        <v>0</v>
      </c>
      <c r="AI373" s="663">
        <v>0</v>
      </c>
      <c r="AJ373" s="663">
        <v>0</v>
      </c>
      <c r="AK373" s="663">
        <v>0</v>
      </c>
      <c r="AL373" s="663">
        <v>0</v>
      </c>
      <c r="AM373" s="663">
        <v>0</v>
      </c>
      <c r="AN373" s="663">
        <v>0</v>
      </c>
      <c r="AO373" s="663">
        <v>0</v>
      </c>
      <c r="AP373" s="663">
        <v>0</v>
      </c>
      <c r="AQ373" s="663">
        <v>0</v>
      </c>
      <c r="AR373" s="663">
        <v>0</v>
      </c>
      <c r="AS373" s="685">
        <f t="shared" si="109"/>
        <v>0</v>
      </c>
      <c r="AU373" s="686">
        <f t="shared" si="113"/>
        <v>10</v>
      </c>
      <c r="AV373" s="665">
        <f t="shared" si="118"/>
        <v>0</v>
      </c>
      <c r="AW373" s="687">
        <f t="shared" si="114"/>
        <v>-1</v>
      </c>
      <c r="AX373" s="663">
        <f t="shared" si="115"/>
        <v>0</v>
      </c>
      <c r="AY373" s="713">
        <v>0</v>
      </c>
      <c r="BC373" s="688">
        <f t="shared" si="117"/>
        <v>2.7397260273972603E-3</v>
      </c>
    </row>
    <row r="374" spans="1:55" x14ac:dyDescent="0.25">
      <c r="C374" s="662" t="s">
        <v>961</v>
      </c>
      <c r="D374" s="663" t="s">
        <v>274</v>
      </c>
      <c r="H374" s="662">
        <v>3</v>
      </c>
      <c r="P374" s="662">
        <v>1</v>
      </c>
      <c r="Q374" s="681">
        <f t="shared" si="112"/>
        <v>4</v>
      </c>
      <c r="W374" s="683">
        <v>0</v>
      </c>
      <c r="X374" s="683">
        <v>0</v>
      </c>
      <c r="Y374" s="683">
        <v>0</v>
      </c>
      <c r="Z374" s="683">
        <v>0</v>
      </c>
      <c r="AA374" s="683">
        <v>0</v>
      </c>
      <c r="AB374" s="683">
        <v>0</v>
      </c>
      <c r="AC374" s="683">
        <v>0</v>
      </c>
      <c r="AD374" s="683">
        <v>0</v>
      </c>
      <c r="AE374" s="684">
        <f t="shared" si="119"/>
        <v>0</v>
      </c>
      <c r="AG374" s="663">
        <v>0</v>
      </c>
      <c r="AH374" s="663">
        <v>0</v>
      </c>
      <c r="AI374" s="663">
        <v>0</v>
      </c>
      <c r="AJ374" s="663">
        <v>0</v>
      </c>
      <c r="AK374" s="663">
        <v>0</v>
      </c>
      <c r="AL374" s="663">
        <v>0</v>
      </c>
      <c r="AM374" s="663">
        <v>0</v>
      </c>
      <c r="AN374" s="663">
        <v>0</v>
      </c>
      <c r="AO374" s="663">
        <v>0</v>
      </c>
      <c r="AP374" s="663">
        <v>0</v>
      </c>
      <c r="AQ374" s="663">
        <v>0</v>
      </c>
      <c r="AR374" s="663">
        <v>0</v>
      </c>
      <c r="AS374" s="685">
        <f t="shared" si="109"/>
        <v>0</v>
      </c>
      <c r="AU374" s="686">
        <f t="shared" si="113"/>
        <v>4</v>
      </c>
      <c r="AV374" s="665">
        <f t="shared" si="118"/>
        <v>0</v>
      </c>
      <c r="AW374" s="687">
        <f t="shared" si="114"/>
        <v>-1</v>
      </c>
      <c r="AX374" s="663">
        <f t="shared" si="115"/>
        <v>0</v>
      </c>
      <c r="AY374" s="713">
        <v>0</v>
      </c>
      <c r="BC374" s="688">
        <f t="shared" si="117"/>
        <v>2.7397260273972603E-3</v>
      </c>
    </row>
    <row r="375" spans="1:55" x14ac:dyDescent="0.25">
      <c r="A375" s="693" t="s">
        <v>1182</v>
      </c>
      <c r="B375" s="693"/>
      <c r="C375" s="693"/>
      <c r="D375" s="694"/>
      <c r="E375" s="693">
        <v>437</v>
      </c>
      <c r="F375" s="693">
        <v>503</v>
      </c>
      <c r="G375" s="693">
        <v>417</v>
      </c>
      <c r="H375" s="693">
        <v>514</v>
      </c>
      <c r="I375" s="693">
        <v>455</v>
      </c>
      <c r="J375" s="693">
        <v>439</v>
      </c>
      <c r="K375" s="693">
        <v>431</v>
      </c>
      <c r="L375" s="693">
        <v>375</v>
      </c>
      <c r="M375" s="693">
        <v>445</v>
      </c>
      <c r="N375" s="693">
        <v>460</v>
      </c>
      <c r="O375" s="693">
        <v>467</v>
      </c>
      <c r="P375" s="693">
        <v>485</v>
      </c>
      <c r="Q375" s="695">
        <f t="shared" si="112"/>
        <v>5428</v>
      </c>
      <c r="R375" s="695"/>
      <c r="S375" s="693">
        <v>480</v>
      </c>
      <c r="T375" s="693">
        <v>522</v>
      </c>
      <c r="U375" s="693">
        <v>427</v>
      </c>
      <c r="V375" s="693">
        <v>486</v>
      </c>
      <c r="W375" s="696">
        <f>SUM(W315:W374)</f>
        <v>481.65753424657532</v>
      </c>
      <c r="X375" s="696">
        <f t="shared" ref="X375:AD375" si="120">SUM(X315:X374)</f>
        <v>467.87945205479451</v>
      </c>
      <c r="Y375" s="696">
        <f t="shared" si="120"/>
        <v>443.87945205479451</v>
      </c>
      <c r="Z375" s="696">
        <f t="shared" si="120"/>
        <v>397.21369863013695</v>
      </c>
      <c r="AA375" s="696">
        <f t="shared" si="120"/>
        <v>438.87945205479451</v>
      </c>
      <c r="AB375" s="696">
        <f t="shared" si="120"/>
        <v>448.65753424657532</v>
      </c>
      <c r="AC375" s="696">
        <f t="shared" si="120"/>
        <v>458.87945205479451</v>
      </c>
      <c r="AD375" s="696">
        <f t="shared" si="120"/>
        <v>508.27397260273972</v>
      </c>
      <c r="AE375" s="697">
        <f t="shared" si="119"/>
        <v>5560.3205479452045</v>
      </c>
      <c r="AF375" s="694"/>
      <c r="AG375" s="694">
        <f t="shared" ref="AG375:AR375" si="121">SUM(AG315:AG374)</f>
        <v>470</v>
      </c>
      <c r="AH375" s="694">
        <f t="shared" si="121"/>
        <v>471</v>
      </c>
      <c r="AI375" s="694">
        <f t="shared" si="121"/>
        <v>468</v>
      </c>
      <c r="AJ375" s="694">
        <f t="shared" si="121"/>
        <v>472</v>
      </c>
      <c r="AK375" s="694">
        <f t="shared" si="121"/>
        <v>468</v>
      </c>
      <c r="AL375" s="694">
        <f t="shared" si="121"/>
        <v>466</v>
      </c>
      <c r="AM375" s="694">
        <f t="shared" si="121"/>
        <v>465</v>
      </c>
      <c r="AN375" s="694">
        <f t="shared" si="121"/>
        <v>472</v>
      </c>
      <c r="AO375" s="694">
        <f t="shared" si="121"/>
        <v>464</v>
      </c>
      <c r="AP375" s="694">
        <f t="shared" si="121"/>
        <v>469</v>
      </c>
      <c r="AQ375" s="694">
        <f t="shared" si="121"/>
        <v>468</v>
      </c>
      <c r="AR375" s="694">
        <f t="shared" si="121"/>
        <v>470</v>
      </c>
      <c r="AS375" s="694">
        <f>SUM(AS315:AS374)</f>
        <v>5623</v>
      </c>
      <c r="AT375" s="694"/>
      <c r="AU375" s="697">
        <f t="shared" si="113"/>
        <v>5428</v>
      </c>
      <c r="AV375" s="697">
        <f t="shared" si="118"/>
        <v>5560.3205479452045</v>
      </c>
      <c r="AW375" s="698">
        <f t="shared" si="114"/>
        <v>2.4377403821887356E-2</v>
      </c>
      <c r="AX375" s="694">
        <f t="shared" si="115"/>
        <v>5623</v>
      </c>
      <c r="AY375" s="698">
        <f t="shared" si="116"/>
        <v>1.1272632848111419E-2</v>
      </c>
      <c r="AZ375" s="698"/>
      <c r="BA375" s="698"/>
      <c r="BC375" s="688">
        <f t="shared" si="117"/>
        <v>14.991780821917809</v>
      </c>
    </row>
    <row r="376" spans="1:55" x14ac:dyDescent="0.25">
      <c r="A376" s="664" t="s">
        <v>1183</v>
      </c>
      <c r="B376" s="662" t="s">
        <v>1184</v>
      </c>
      <c r="C376" s="662" t="s">
        <v>932</v>
      </c>
      <c r="D376" s="663"/>
      <c r="Q376" s="681">
        <f t="shared" si="112"/>
        <v>0</v>
      </c>
      <c r="U376" s="662">
        <v>1</v>
      </c>
      <c r="W376" s="683">
        <v>0</v>
      </c>
      <c r="X376" s="683">
        <v>0</v>
      </c>
      <c r="Y376" s="683">
        <v>0</v>
      </c>
      <c r="Z376" s="683">
        <v>0</v>
      </c>
      <c r="AA376" s="683">
        <v>0</v>
      </c>
      <c r="AB376" s="683">
        <v>0</v>
      </c>
      <c r="AC376" s="683">
        <v>0</v>
      </c>
      <c r="AD376" s="683">
        <v>0</v>
      </c>
      <c r="AE376" s="684">
        <f t="shared" si="119"/>
        <v>1</v>
      </c>
      <c r="AG376" s="663">
        <v>0</v>
      </c>
      <c r="AH376" s="663">
        <v>0</v>
      </c>
      <c r="AI376" s="663">
        <v>0</v>
      </c>
      <c r="AJ376" s="663">
        <v>0</v>
      </c>
      <c r="AK376" s="663">
        <v>0</v>
      </c>
      <c r="AL376" s="663">
        <v>0</v>
      </c>
      <c r="AM376" s="663">
        <v>0</v>
      </c>
      <c r="AN376" s="663">
        <v>0</v>
      </c>
      <c r="AO376" s="663">
        <v>0</v>
      </c>
      <c r="AP376" s="663">
        <v>0</v>
      </c>
      <c r="AQ376" s="663">
        <v>0</v>
      </c>
      <c r="AR376" s="663">
        <v>0</v>
      </c>
      <c r="AS376" s="685">
        <v>0</v>
      </c>
      <c r="AU376" s="686">
        <f t="shared" si="113"/>
        <v>0</v>
      </c>
      <c r="AV376" s="665">
        <f t="shared" si="118"/>
        <v>1</v>
      </c>
      <c r="AW376" s="687">
        <v>1</v>
      </c>
      <c r="AX376" s="663">
        <f t="shared" si="115"/>
        <v>0</v>
      </c>
      <c r="AY376" s="713">
        <f t="shared" si="116"/>
        <v>-1</v>
      </c>
      <c r="BC376" s="688">
        <f t="shared" si="117"/>
        <v>2.7397260273972603E-3</v>
      </c>
    </row>
    <row r="377" spans="1:55" x14ac:dyDescent="0.25">
      <c r="C377" s="662" t="s">
        <v>939</v>
      </c>
      <c r="D377" s="663"/>
      <c r="E377" s="662">
        <v>2</v>
      </c>
      <c r="F377" s="662">
        <v>3</v>
      </c>
      <c r="G377" s="662">
        <v>3</v>
      </c>
      <c r="H377" s="662">
        <v>2</v>
      </c>
      <c r="I377" s="662">
        <v>6</v>
      </c>
      <c r="K377" s="662">
        <v>1</v>
      </c>
      <c r="L377" s="662">
        <v>5</v>
      </c>
      <c r="M377" s="662">
        <v>3</v>
      </c>
      <c r="N377" s="662">
        <v>5</v>
      </c>
      <c r="O377" s="662">
        <v>2</v>
      </c>
      <c r="P377" s="662">
        <v>1</v>
      </c>
      <c r="Q377" s="681">
        <f t="shared" si="112"/>
        <v>33</v>
      </c>
      <c r="T377" s="662">
        <v>4</v>
      </c>
      <c r="V377" s="662">
        <v>6</v>
      </c>
      <c r="W377" s="683">
        <v>6</v>
      </c>
      <c r="X377" s="683">
        <v>0</v>
      </c>
      <c r="Y377" s="683">
        <v>1</v>
      </c>
      <c r="Z377" s="683">
        <v>5</v>
      </c>
      <c r="AA377" s="683">
        <v>3</v>
      </c>
      <c r="AB377" s="683">
        <v>5</v>
      </c>
      <c r="AC377" s="683">
        <v>2</v>
      </c>
      <c r="AD377" s="683">
        <v>1</v>
      </c>
      <c r="AE377" s="684">
        <f t="shared" si="119"/>
        <v>33</v>
      </c>
      <c r="AG377" s="663">
        <v>3</v>
      </c>
      <c r="AH377" s="663">
        <v>3</v>
      </c>
      <c r="AI377" s="663">
        <v>3</v>
      </c>
      <c r="AJ377" s="663">
        <v>3</v>
      </c>
      <c r="AK377" s="663">
        <v>3</v>
      </c>
      <c r="AL377" s="663">
        <v>2</v>
      </c>
      <c r="AM377" s="663">
        <v>2</v>
      </c>
      <c r="AN377" s="663">
        <v>3</v>
      </c>
      <c r="AO377" s="663">
        <v>3</v>
      </c>
      <c r="AP377" s="663">
        <v>3</v>
      </c>
      <c r="AQ377" s="663">
        <v>3</v>
      </c>
      <c r="AR377" s="663">
        <v>3</v>
      </c>
      <c r="AS377" s="685">
        <f t="shared" ref="AS377:AS382" si="122">SUM(AG377:AR377)</f>
        <v>34</v>
      </c>
      <c r="AU377" s="686">
        <f t="shared" si="113"/>
        <v>33</v>
      </c>
      <c r="AV377" s="665">
        <f t="shared" si="118"/>
        <v>33</v>
      </c>
      <c r="AW377" s="687">
        <f t="shared" si="114"/>
        <v>0</v>
      </c>
      <c r="AX377" s="663">
        <f t="shared" si="115"/>
        <v>34</v>
      </c>
      <c r="AY377" s="713">
        <f t="shared" si="116"/>
        <v>3.0303030303030276E-2</v>
      </c>
      <c r="BC377" s="688">
        <f t="shared" si="117"/>
        <v>9.0410958904109592E-2</v>
      </c>
    </row>
    <row r="378" spans="1:55" x14ac:dyDescent="0.25">
      <c r="C378" s="662" t="s">
        <v>961</v>
      </c>
      <c r="D378" s="663"/>
      <c r="F378" s="662">
        <v>1</v>
      </c>
      <c r="J378" s="662">
        <v>2</v>
      </c>
      <c r="K378" s="662">
        <v>1</v>
      </c>
      <c r="M378" s="662">
        <v>1</v>
      </c>
      <c r="N378" s="662">
        <v>2</v>
      </c>
      <c r="P378" s="662">
        <v>1</v>
      </c>
      <c r="Q378" s="681">
        <f t="shared" si="112"/>
        <v>8</v>
      </c>
      <c r="S378" s="662">
        <v>2</v>
      </c>
      <c r="U378" s="662">
        <v>1</v>
      </c>
      <c r="W378" s="683">
        <v>2</v>
      </c>
      <c r="X378" s="683">
        <v>0</v>
      </c>
      <c r="Y378" s="683">
        <v>1</v>
      </c>
      <c r="Z378" s="683">
        <v>1</v>
      </c>
      <c r="AA378" s="683">
        <v>1</v>
      </c>
      <c r="AB378" s="683">
        <v>0</v>
      </c>
      <c r="AC378" s="683">
        <v>0</v>
      </c>
      <c r="AD378" s="683">
        <v>0</v>
      </c>
      <c r="AE378" s="684">
        <f t="shared" si="119"/>
        <v>8</v>
      </c>
      <c r="AG378" s="663">
        <v>1</v>
      </c>
      <c r="AH378" s="663">
        <v>1</v>
      </c>
      <c r="AI378" s="663">
        <v>0</v>
      </c>
      <c r="AJ378" s="663">
        <v>1</v>
      </c>
      <c r="AK378" s="663">
        <v>1</v>
      </c>
      <c r="AL378" s="663">
        <v>0</v>
      </c>
      <c r="AM378" s="663">
        <v>1</v>
      </c>
      <c r="AN378" s="663">
        <v>1</v>
      </c>
      <c r="AO378" s="663">
        <v>0</v>
      </c>
      <c r="AP378" s="663">
        <v>1</v>
      </c>
      <c r="AQ378" s="663">
        <v>1</v>
      </c>
      <c r="AR378" s="663">
        <v>0</v>
      </c>
      <c r="AS378" s="685">
        <f t="shared" si="122"/>
        <v>8</v>
      </c>
      <c r="AU378" s="686">
        <f t="shared" si="113"/>
        <v>8</v>
      </c>
      <c r="AV378" s="665">
        <f t="shared" si="118"/>
        <v>8</v>
      </c>
      <c r="AW378" s="687">
        <f t="shared" si="114"/>
        <v>0</v>
      </c>
      <c r="AX378" s="663">
        <f t="shared" si="115"/>
        <v>8</v>
      </c>
      <c r="AY378" s="713">
        <f t="shared" si="116"/>
        <v>0</v>
      </c>
      <c r="BC378" s="688">
        <f t="shared" si="117"/>
        <v>2.7397260273972601E-2</v>
      </c>
    </row>
    <row r="379" spans="1:55" x14ac:dyDescent="0.25">
      <c r="B379" s="662" t="s">
        <v>1185</v>
      </c>
      <c r="C379" s="662" t="s">
        <v>939</v>
      </c>
      <c r="D379" s="663"/>
      <c r="E379" s="662">
        <v>8</v>
      </c>
      <c r="F379" s="662">
        <v>10</v>
      </c>
      <c r="G379" s="662">
        <v>5</v>
      </c>
      <c r="H379" s="662">
        <v>3</v>
      </c>
      <c r="I379" s="662">
        <v>3</v>
      </c>
      <c r="K379" s="662">
        <v>10</v>
      </c>
      <c r="L379" s="662">
        <v>9</v>
      </c>
      <c r="M379" s="662">
        <v>3</v>
      </c>
      <c r="N379" s="662">
        <v>5</v>
      </c>
      <c r="O379" s="662">
        <v>6</v>
      </c>
      <c r="P379" s="662">
        <v>4</v>
      </c>
      <c r="Q379" s="681">
        <f t="shared" si="112"/>
        <v>66</v>
      </c>
      <c r="S379" s="662">
        <v>6</v>
      </c>
      <c r="T379" s="662">
        <v>3</v>
      </c>
      <c r="U379" s="662">
        <v>2</v>
      </c>
      <c r="V379" s="662">
        <v>5</v>
      </c>
      <c r="W379" s="683">
        <v>3</v>
      </c>
      <c r="X379" s="683">
        <v>0</v>
      </c>
      <c r="Y379" s="683">
        <v>10</v>
      </c>
      <c r="Z379" s="683">
        <v>9</v>
      </c>
      <c r="AA379" s="683">
        <v>3</v>
      </c>
      <c r="AB379" s="683">
        <v>5</v>
      </c>
      <c r="AC379" s="683">
        <v>6</v>
      </c>
      <c r="AD379" s="683">
        <v>4</v>
      </c>
      <c r="AE379" s="684">
        <f t="shared" si="119"/>
        <v>56</v>
      </c>
      <c r="AG379" s="663">
        <v>5</v>
      </c>
      <c r="AH379" s="663">
        <v>5</v>
      </c>
      <c r="AI379" s="663">
        <v>5</v>
      </c>
      <c r="AJ379" s="663">
        <v>5</v>
      </c>
      <c r="AK379" s="663">
        <v>5</v>
      </c>
      <c r="AL379" s="663">
        <v>5</v>
      </c>
      <c r="AM379" s="663">
        <v>5</v>
      </c>
      <c r="AN379" s="663">
        <v>5</v>
      </c>
      <c r="AO379" s="663">
        <v>5</v>
      </c>
      <c r="AP379" s="663">
        <v>5</v>
      </c>
      <c r="AQ379" s="663">
        <v>5</v>
      </c>
      <c r="AR379" s="663">
        <v>5</v>
      </c>
      <c r="AS379" s="685">
        <f t="shared" si="122"/>
        <v>60</v>
      </c>
      <c r="AU379" s="686">
        <f t="shared" si="113"/>
        <v>66</v>
      </c>
      <c r="AV379" s="665">
        <f t="shared" si="118"/>
        <v>56</v>
      </c>
      <c r="AW379" s="687">
        <f t="shared" si="114"/>
        <v>-0.15151515151515149</v>
      </c>
      <c r="AX379" s="663">
        <f t="shared" si="115"/>
        <v>60</v>
      </c>
      <c r="AY379" s="713">
        <f t="shared" si="116"/>
        <v>7.1428571428571397E-2</v>
      </c>
      <c r="BC379" s="688">
        <f t="shared" si="117"/>
        <v>0.15342465753424658</v>
      </c>
    </row>
    <row r="380" spans="1:55" x14ac:dyDescent="0.25">
      <c r="C380" s="662" t="s">
        <v>961</v>
      </c>
      <c r="D380" s="663"/>
      <c r="E380" s="662">
        <v>2</v>
      </c>
      <c r="F380" s="662">
        <v>5</v>
      </c>
      <c r="G380" s="662">
        <v>4</v>
      </c>
      <c r="H380" s="662">
        <v>2</v>
      </c>
      <c r="K380" s="662">
        <v>2</v>
      </c>
      <c r="L380" s="662">
        <v>1</v>
      </c>
      <c r="M380" s="662">
        <v>1</v>
      </c>
      <c r="O380" s="662">
        <v>3</v>
      </c>
      <c r="Q380" s="681">
        <f t="shared" si="112"/>
        <v>20</v>
      </c>
      <c r="T380" s="662">
        <v>2</v>
      </c>
      <c r="U380" s="662">
        <v>3</v>
      </c>
      <c r="V380" s="662">
        <v>3</v>
      </c>
      <c r="W380" s="683">
        <v>0</v>
      </c>
      <c r="X380" s="683">
        <v>2</v>
      </c>
      <c r="Y380" s="683">
        <v>1</v>
      </c>
      <c r="Z380" s="683">
        <v>1</v>
      </c>
      <c r="AA380" s="683">
        <v>0</v>
      </c>
      <c r="AB380" s="683">
        <v>0</v>
      </c>
      <c r="AC380" s="683">
        <v>3</v>
      </c>
      <c r="AD380" s="683">
        <v>0</v>
      </c>
      <c r="AE380" s="684">
        <f t="shared" si="119"/>
        <v>15</v>
      </c>
      <c r="AG380" s="663">
        <v>1</v>
      </c>
      <c r="AH380" s="663">
        <v>1</v>
      </c>
      <c r="AI380" s="663">
        <v>1</v>
      </c>
      <c r="AJ380" s="663">
        <v>2</v>
      </c>
      <c r="AK380" s="663">
        <v>1</v>
      </c>
      <c r="AL380" s="663">
        <v>1</v>
      </c>
      <c r="AM380" s="663">
        <v>1</v>
      </c>
      <c r="AN380" s="663">
        <v>2</v>
      </c>
      <c r="AO380" s="663">
        <v>1</v>
      </c>
      <c r="AP380" s="663">
        <v>1</v>
      </c>
      <c r="AQ380" s="663">
        <v>1</v>
      </c>
      <c r="AR380" s="663">
        <v>2</v>
      </c>
      <c r="AS380" s="685">
        <f t="shared" si="122"/>
        <v>15</v>
      </c>
      <c r="AU380" s="686">
        <f t="shared" si="113"/>
        <v>20</v>
      </c>
      <c r="AV380" s="665">
        <f t="shared" si="118"/>
        <v>15</v>
      </c>
      <c r="AW380" s="687">
        <f t="shared" si="114"/>
        <v>-0.25</v>
      </c>
      <c r="AX380" s="663">
        <f t="shared" si="115"/>
        <v>15</v>
      </c>
      <c r="AY380" s="713">
        <f t="shared" si="116"/>
        <v>0</v>
      </c>
      <c r="BC380" s="688">
        <f t="shared" si="117"/>
        <v>4.1095890410958902E-2</v>
      </c>
    </row>
    <row r="381" spans="1:55" x14ac:dyDescent="0.25">
      <c r="B381" s="662" t="s">
        <v>1186</v>
      </c>
      <c r="C381" s="662" t="s">
        <v>939</v>
      </c>
      <c r="D381" s="663"/>
      <c r="Q381" s="681">
        <f t="shared" si="112"/>
        <v>0</v>
      </c>
      <c r="V381" s="662">
        <v>3</v>
      </c>
      <c r="W381" s="683">
        <v>0</v>
      </c>
      <c r="X381" s="683">
        <v>1</v>
      </c>
      <c r="Y381" s="683">
        <v>1</v>
      </c>
      <c r="Z381" s="683">
        <v>1</v>
      </c>
      <c r="AA381" s="683">
        <v>0</v>
      </c>
      <c r="AB381" s="683">
        <v>1</v>
      </c>
      <c r="AC381" s="683">
        <v>1</v>
      </c>
      <c r="AD381" s="683">
        <v>1</v>
      </c>
      <c r="AE381" s="684">
        <f t="shared" si="119"/>
        <v>9</v>
      </c>
      <c r="AG381" s="663">
        <v>2</v>
      </c>
      <c r="AH381" s="663">
        <v>2</v>
      </c>
      <c r="AI381" s="663">
        <v>2</v>
      </c>
      <c r="AJ381" s="663">
        <v>2</v>
      </c>
      <c r="AK381" s="663">
        <v>2</v>
      </c>
      <c r="AL381" s="663">
        <v>2</v>
      </c>
      <c r="AM381" s="663">
        <v>2</v>
      </c>
      <c r="AN381" s="663">
        <v>2</v>
      </c>
      <c r="AO381" s="663">
        <v>2</v>
      </c>
      <c r="AP381" s="663">
        <v>2</v>
      </c>
      <c r="AQ381" s="663">
        <v>2</v>
      </c>
      <c r="AR381" s="663">
        <v>2</v>
      </c>
      <c r="AS381" s="685">
        <f t="shared" si="122"/>
        <v>24</v>
      </c>
      <c r="AU381" s="686">
        <f t="shared" si="113"/>
        <v>0</v>
      </c>
      <c r="AV381" s="665">
        <f t="shared" si="118"/>
        <v>9</v>
      </c>
      <c r="AW381" s="687">
        <v>1</v>
      </c>
      <c r="AX381" s="663">
        <f t="shared" si="115"/>
        <v>24</v>
      </c>
      <c r="AY381" s="713">
        <f t="shared" si="116"/>
        <v>1.6666666666666665</v>
      </c>
      <c r="BC381" s="688">
        <f t="shared" si="117"/>
        <v>8.21917808219178E-3</v>
      </c>
    </row>
    <row r="382" spans="1:55" x14ac:dyDescent="0.25">
      <c r="C382" s="662" t="s">
        <v>961</v>
      </c>
      <c r="D382" s="663"/>
      <c r="Q382" s="681">
        <f t="shared" si="112"/>
        <v>0</v>
      </c>
      <c r="V382" s="662">
        <v>1</v>
      </c>
      <c r="W382" s="683">
        <v>0</v>
      </c>
      <c r="X382" s="683">
        <v>0</v>
      </c>
      <c r="Y382" s="683">
        <v>0</v>
      </c>
      <c r="Z382" s="683">
        <v>0</v>
      </c>
      <c r="AA382" s="683">
        <v>1</v>
      </c>
      <c r="AB382" s="683">
        <v>0</v>
      </c>
      <c r="AC382" s="683">
        <v>0</v>
      </c>
      <c r="AD382" s="683">
        <v>1</v>
      </c>
      <c r="AE382" s="684">
        <f t="shared" si="119"/>
        <v>3</v>
      </c>
      <c r="AG382" s="663">
        <v>1</v>
      </c>
      <c r="AH382" s="663">
        <v>1</v>
      </c>
      <c r="AI382" s="663">
        <v>1</v>
      </c>
      <c r="AJ382" s="663">
        <v>1</v>
      </c>
      <c r="AK382" s="663">
        <v>1</v>
      </c>
      <c r="AL382" s="663">
        <v>1</v>
      </c>
      <c r="AM382" s="663">
        <v>1</v>
      </c>
      <c r="AN382" s="663">
        <v>1</v>
      </c>
      <c r="AO382" s="663">
        <v>1</v>
      </c>
      <c r="AP382" s="663">
        <v>1</v>
      </c>
      <c r="AQ382" s="663">
        <v>1</v>
      </c>
      <c r="AR382" s="663">
        <v>1</v>
      </c>
      <c r="AS382" s="685">
        <f t="shared" si="122"/>
        <v>12</v>
      </c>
      <c r="AU382" s="686">
        <f t="shared" si="113"/>
        <v>0</v>
      </c>
      <c r="AV382" s="665">
        <f t="shared" si="118"/>
        <v>3</v>
      </c>
      <c r="AW382" s="687">
        <v>1</v>
      </c>
      <c r="AX382" s="663">
        <f t="shared" si="115"/>
        <v>12</v>
      </c>
      <c r="AY382" s="713">
        <f t="shared" si="116"/>
        <v>3</v>
      </c>
      <c r="BC382" s="688">
        <f t="shared" si="117"/>
        <v>2.7397260273972603E-3</v>
      </c>
    </row>
    <row r="383" spans="1:55" x14ac:dyDescent="0.25">
      <c r="A383" s="693" t="s">
        <v>1187</v>
      </c>
      <c r="B383" s="693"/>
      <c r="C383" s="693"/>
      <c r="D383" s="694"/>
      <c r="E383" s="693">
        <v>12</v>
      </c>
      <c r="F383" s="693">
        <v>19</v>
      </c>
      <c r="G383" s="693">
        <v>12</v>
      </c>
      <c r="H383" s="693">
        <v>7</v>
      </c>
      <c r="I383" s="693">
        <v>9</v>
      </c>
      <c r="J383" s="693">
        <v>2</v>
      </c>
      <c r="K383" s="693">
        <v>14</v>
      </c>
      <c r="L383" s="693">
        <v>15</v>
      </c>
      <c r="M383" s="693">
        <v>8</v>
      </c>
      <c r="N383" s="693">
        <v>12</v>
      </c>
      <c r="O383" s="693">
        <v>11</v>
      </c>
      <c r="P383" s="693">
        <v>6</v>
      </c>
      <c r="Q383" s="695">
        <f t="shared" si="112"/>
        <v>127</v>
      </c>
      <c r="R383" s="695"/>
      <c r="S383" s="693">
        <v>8</v>
      </c>
      <c r="T383" s="693">
        <v>9</v>
      </c>
      <c r="U383" s="693">
        <v>7</v>
      </c>
      <c r="V383" s="693">
        <v>18</v>
      </c>
      <c r="W383" s="696">
        <f>SUM(W376:W382)</f>
        <v>11</v>
      </c>
      <c r="X383" s="696">
        <f t="shared" ref="X383:AD383" si="123">SUM(X376:X382)</f>
        <v>3</v>
      </c>
      <c r="Y383" s="696">
        <f t="shared" si="123"/>
        <v>14</v>
      </c>
      <c r="Z383" s="696">
        <f t="shared" si="123"/>
        <v>17</v>
      </c>
      <c r="AA383" s="696">
        <f t="shared" si="123"/>
        <v>8</v>
      </c>
      <c r="AB383" s="696">
        <f t="shared" si="123"/>
        <v>11</v>
      </c>
      <c r="AC383" s="696">
        <f t="shared" si="123"/>
        <v>12</v>
      </c>
      <c r="AD383" s="696">
        <f t="shared" si="123"/>
        <v>7</v>
      </c>
      <c r="AE383" s="697">
        <f t="shared" si="119"/>
        <v>125</v>
      </c>
      <c r="AF383" s="694"/>
      <c r="AG383" s="694">
        <f t="shared" ref="AG383:AR383" si="124">SUM(AG376:AG382)</f>
        <v>13</v>
      </c>
      <c r="AH383" s="694">
        <f t="shared" si="124"/>
        <v>13</v>
      </c>
      <c r="AI383" s="694">
        <f t="shared" si="124"/>
        <v>12</v>
      </c>
      <c r="AJ383" s="694">
        <f t="shared" si="124"/>
        <v>14</v>
      </c>
      <c r="AK383" s="694">
        <f t="shared" si="124"/>
        <v>13</v>
      </c>
      <c r="AL383" s="694">
        <f t="shared" si="124"/>
        <v>11</v>
      </c>
      <c r="AM383" s="694">
        <f t="shared" si="124"/>
        <v>12</v>
      </c>
      <c r="AN383" s="694">
        <f t="shared" si="124"/>
        <v>14</v>
      </c>
      <c r="AO383" s="694">
        <f t="shared" si="124"/>
        <v>12</v>
      </c>
      <c r="AP383" s="694">
        <f t="shared" si="124"/>
        <v>13</v>
      </c>
      <c r="AQ383" s="694">
        <f t="shared" si="124"/>
        <v>13</v>
      </c>
      <c r="AR383" s="694">
        <f t="shared" si="124"/>
        <v>13</v>
      </c>
      <c r="AS383" s="694">
        <f>SUM(AS376:AS382)</f>
        <v>153</v>
      </c>
      <c r="AT383" s="694"/>
      <c r="AU383" s="697">
        <f t="shared" si="113"/>
        <v>127</v>
      </c>
      <c r="AV383" s="697">
        <f t="shared" si="118"/>
        <v>125</v>
      </c>
      <c r="AW383" s="698">
        <f t="shared" si="114"/>
        <v>-1.5748031496062964E-2</v>
      </c>
      <c r="AX383" s="694">
        <f t="shared" si="115"/>
        <v>153</v>
      </c>
      <c r="AY383" s="698">
        <f t="shared" si="116"/>
        <v>0.22399999999999998</v>
      </c>
      <c r="AZ383" s="698"/>
      <c r="BA383" s="698"/>
      <c r="BC383" s="688">
        <f t="shared" si="117"/>
        <v>0.32602739726027397</v>
      </c>
    </row>
    <row r="384" spans="1:55" x14ac:dyDescent="0.25">
      <c r="A384" s="664" t="s">
        <v>1188</v>
      </c>
      <c r="B384" s="662" t="s">
        <v>1189</v>
      </c>
      <c r="C384" s="662" t="s">
        <v>932</v>
      </c>
      <c r="D384" s="663" t="s">
        <v>1013</v>
      </c>
      <c r="Q384" s="681">
        <f t="shared" si="112"/>
        <v>0</v>
      </c>
      <c r="V384" s="662">
        <v>1</v>
      </c>
      <c r="W384" s="683">
        <v>0</v>
      </c>
      <c r="X384" s="683">
        <v>0</v>
      </c>
      <c r="Y384" s="683">
        <v>0</v>
      </c>
      <c r="Z384" s="683">
        <v>0</v>
      </c>
      <c r="AA384" s="683">
        <v>0</v>
      </c>
      <c r="AB384" s="683">
        <v>0</v>
      </c>
      <c r="AC384" s="683">
        <v>0</v>
      </c>
      <c r="AD384" s="683">
        <v>0</v>
      </c>
      <c r="AE384" s="684">
        <f t="shared" si="119"/>
        <v>1</v>
      </c>
      <c r="AG384" s="663">
        <v>0</v>
      </c>
      <c r="AH384" s="663">
        <v>0</v>
      </c>
      <c r="AI384" s="663">
        <v>0</v>
      </c>
      <c r="AJ384" s="663">
        <v>0</v>
      </c>
      <c r="AK384" s="663">
        <v>0</v>
      </c>
      <c r="AL384" s="663">
        <v>0</v>
      </c>
      <c r="AM384" s="663">
        <v>0</v>
      </c>
      <c r="AN384" s="663">
        <v>0</v>
      </c>
      <c r="AO384" s="663">
        <v>0</v>
      </c>
      <c r="AP384" s="663">
        <v>0</v>
      </c>
      <c r="AQ384" s="663">
        <v>0</v>
      </c>
      <c r="AR384" s="663">
        <v>0</v>
      </c>
      <c r="AS384" s="685">
        <f t="shared" ref="AS384:AS397" si="125">SUM(AG384:AR384)</f>
        <v>0</v>
      </c>
      <c r="AU384" s="686">
        <f t="shared" si="113"/>
        <v>0</v>
      </c>
      <c r="AV384" s="665">
        <f t="shared" si="118"/>
        <v>1</v>
      </c>
      <c r="AW384" s="687">
        <v>1</v>
      </c>
      <c r="AX384" s="663">
        <f t="shared" si="115"/>
        <v>0</v>
      </c>
      <c r="AY384" s="713">
        <f t="shared" si="116"/>
        <v>-1</v>
      </c>
      <c r="BC384" s="688">
        <f t="shared" si="117"/>
        <v>2.7397260273972603E-3</v>
      </c>
    </row>
    <row r="385" spans="1:55" x14ac:dyDescent="0.25">
      <c r="C385" s="662" t="s">
        <v>939</v>
      </c>
      <c r="D385" s="663" t="s">
        <v>1013</v>
      </c>
      <c r="Q385" s="681">
        <f t="shared" si="112"/>
        <v>0</v>
      </c>
      <c r="U385" s="662">
        <v>3</v>
      </c>
      <c r="V385" s="662">
        <v>4</v>
      </c>
      <c r="W385" s="683">
        <v>2</v>
      </c>
      <c r="X385" s="683">
        <v>3</v>
      </c>
      <c r="Y385" s="683">
        <v>4</v>
      </c>
      <c r="Z385" s="683">
        <v>2</v>
      </c>
      <c r="AA385" s="683">
        <v>3</v>
      </c>
      <c r="AB385" s="683">
        <v>4</v>
      </c>
      <c r="AC385" s="683">
        <v>2</v>
      </c>
      <c r="AD385" s="683">
        <v>3</v>
      </c>
      <c r="AE385" s="684">
        <f t="shared" si="119"/>
        <v>30</v>
      </c>
      <c r="AG385" s="663">
        <v>4</v>
      </c>
      <c r="AH385" s="663">
        <v>4</v>
      </c>
      <c r="AI385" s="663">
        <v>4</v>
      </c>
      <c r="AJ385" s="663">
        <v>4</v>
      </c>
      <c r="AK385" s="663">
        <v>4</v>
      </c>
      <c r="AL385" s="663">
        <v>4</v>
      </c>
      <c r="AM385" s="663">
        <v>4</v>
      </c>
      <c r="AN385" s="663">
        <v>4</v>
      </c>
      <c r="AO385" s="663">
        <v>4</v>
      </c>
      <c r="AP385" s="663">
        <v>4</v>
      </c>
      <c r="AQ385" s="663">
        <v>4</v>
      </c>
      <c r="AR385" s="663">
        <v>4</v>
      </c>
      <c r="AS385" s="685">
        <f t="shared" si="125"/>
        <v>48</v>
      </c>
      <c r="AU385" s="686">
        <f t="shared" si="113"/>
        <v>0</v>
      </c>
      <c r="AV385" s="665">
        <f t="shared" si="118"/>
        <v>30</v>
      </c>
      <c r="AW385" s="687">
        <v>1</v>
      </c>
      <c r="AX385" s="663">
        <f t="shared" si="115"/>
        <v>48</v>
      </c>
      <c r="AY385" s="713">
        <f t="shared" si="116"/>
        <v>0.60000000000000009</v>
      </c>
      <c r="BC385" s="688">
        <f t="shared" si="117"/>
        <v>1.9178082191780823E-2</v>
      </c>
    </row>
    <row r="386" spans="1:55" x14ac:dyDescent="0.25">
      <c r="C386" s="662" t="s">
        <v>961</v>
      </c>
      <c r="D386" s="663" t="s">
        <v>1013</v>
      </c>
      <c r="Q386" s="681">
        <f t="shared" si="112"/>
        <v>0</v>
      </c>
      <c r="U386" s="662">
        <v>3</v>
      </c>
      <c r="V386" s="662">
        <v>7</v>
      </c>
      <c r="W386" s="683">
        <v>3</v>
      </c>
      <c r="X386" s="683">
        <v>3</v>
      </c>
      <c r="Y386" s="683">
        <v>7</v>
      </c>
      <c r="Z386" s="683">
        <v>3</v>
      </c>
      <c r="AA386" s="683">
        <v>7</v>
      </c>
      <c r="AB386" s="683">
        <v>3</v>
      </c>
      <c r="AC386" s="683">
        <v>7</v>
      </c>
      <c r="AD386" s="683">
        <v>3</v>
      </c>
      <c r="AE386" s="684">
        <f t="shared" si="119"/>
        <v>46</v>
      </c>
      <c r="AG386" s="663">
        <v>5</v>
      </c>
      <c r="AH386" s="663">
        <v>5</v>
      </c>
      <c r="AI386" s="663">
        <v>5</v>
      </c>
      <c r="AJ386" s="663">
        <v>5</v>
      </c>
      <c r="AK386" s="663">
        <v>5</v>
      </c>
      <c r="AL386" s="663">
        <v>5</v>
      </c>
      <c r="AM386" s="663">
        <v>5</v>
      </c>
      <c r="AN386" s="663">
        <v>5</v>
      </c>
      <c r="AO386" s="663">
        <v>5</v>
      </c>
      <c r="AP386" s="663">
        <v>5</v>
      </c>
      <c r="AQ386" s="663">
        <v>5</v>
      </c>
      <c r="AR386" s="663">
        <v>5</v>
      </c>
      <c r="AS386" s="685">
        <f t="shared" si="125"/>
        <v>60</v>
      </c>
      <c r="AU386" s="686">
        <f t="shared" si="113"/>
        <v>0</v>
      </c>
      <c r="AV386" s="665">
        <f t="shared" si="118"/>
        <v>46</v>
      </c>
      <c r="AW386" s="687">
        <v>1</v>
      </c>
      <c r="AX386" s="663">
        <f t="shared" si="115"/>
        <v>60</v>
      </c>
      <c r="AY386" s="713">
        <f t="shared" si="116"/>
        <v>0.30434782608695654</v>
      </c>
      <c r="BC386" s="688">
        <f t="shared" si="117"/>
        <v>2.7397260273972601E-2</v>
      </c>
    </row>
    <row r="387" spans="1:55" x14ac:dyDescent="0.25">
      <c r="B387" s="662" t="s">
        <v>1190</v>
      </c>
      <c r="C387" s="662" t="s">
        <v>939</v>
      </c>
      <c r="D387" s="663" t="s">
        <v>945</v>
      </c>
      <c r="E387" s="662">
        <v>2</v>
      </c>
      <c r="F387" s="662">
        <v>3</v>
      </c>
      <c r="G387" s="662">
        <v>2</v>
      </c>
      <c r="H387" s="662">
        <v>1</v>
      </c>
      <c r="I387" s="662">
        <v>4</v>
      </c>
      <c r="J387" s="662">
        <v>2</v>
      </c>
      <c r="L387" s="662">
        <v>2</v>
      </c>
      <c r="Q387" s="681">
        <f t="shared" si="112"/>
        <v>16</v>
      </c>
      <c r="W387" s="683">
        <v>0</v>
      </c>
      <c r="X387" s="683">
        <v>0</v>
      </c>
      <c r="Y387" s="683">
        <v>0</v>
      </c>
      <c r="Z387" s="683">
        <v>0</v>
      </c>
      <c r="AA387" s="683">
        <v>0</v>
      </c>
      <c r="AB387" s="683">
        <v>0</v>
      </c>
      <c r="AC387" s="683">
        <v>0</v>
      </c>
      <c r="AD387" s="683">
        <v>0</v>
      </c>
      <c r="AE387" s="684">
        <f t="shared" si="119"/>
        <v>0</v>
      </c>
      <c r="AG387" s="683">
        <v>0</v>
      </c>
      <c r="AH387" s="683">
        <v>0</v>
      </c>
      <c r="AI387" s="683">
        <v>0</v>
      </c>
      <c r="AJ387" s="683">
        <v>0</v>
      </c>
      <c r="AK387" s="683">
        <v>0</v>
      </c>
      <c r="AL387" s="683">
        <v>0</v>
      </c>
      <c r="AM387" s="683">
        <v>0</v>
      </c>
      <c r="AN387" s="683">
        <v>0</v>
      </c>
      <c r="AO387" s="683">
        <v>0</v>
      </c>
      <c r="AP387" s="683">
        <v>0</v>
      </c>
      <c r="AQ387" s="683">
        <v>0</v>
      </c>
      <c r="AR387" s="683">
        <v>0</v>
      </c>
      <c r="AS387" s="685">
        <f t="shared" si="125"/>
        <v>0</v>
      </c>
      <c r="AU387" s="686">
        <f t="shared" si="113"/>
        <v>16</v>
      </c>
      <c r="AV387" s="665">
        <f t="shared" si="118"/>
        <v>0</v>
      </c>
      <c r="AW387" s="687">
        <f t="shared" si="114"/>
        <v>-1</v>
      </c>
      <c r="AX387" s="663">
        <f t="shared" si="115"/>
        <v>0</v>
      </c>
      <c r="AY387" s="713">
        <v>0</v>
      </c>
      <c r="BC387" s="688">
        <f t="shared" si="117"/>
        <v>2.1917808219178082E-2</v>
      </c>
    </row>
    <row r="388" spans="1:55" x14ac:dyDescent="0.25">
      <c r="C388" s="662" t="s">
        <v>961</v>
      </c>
      <c r="D388" s="663" t="s">
        <v>945</v>
      </c>
      <c r="E388" s="662">
        <v>4</v>
      </c>
      <c r="F388" s="662">
        <v>6</v>
      </c>
      <c r="G388" s="662">
        <v>2</v>
      </c>
      <c r="H388" s="662">
        <v>2</v>
      </c>
      <c r="I388" s="662">
        <v>6</v>
      </c>
      <c r="J388" s="662">
        <v>3</v>
      </c>
      <c r="Q388" s="681">
        <f t="shared" si="112"/>
        <v>23</v>
      </c>
      <c r="W388" s="683">
        <v>0</v>
      </c>
      <c r="X388" s="683">
        <v>0</v>
      </c>
      <c r="Y388" s="683">
        <v>0</v>
      </c>
      <c r="Z388" s="683">
        <v>0</v>
      </c>
      <c r="AA388" s="683">
        <v>0</v>
      </c>
      <c r="AB388" s="683">
        <v>0</v>
      </c>
      <c r="AC388" s="683">
        <v>0</v>
      </c>
      <c r="AD388" s="683">
        <v>0</v>
      </c>
      <c r="AE388" s="684">
        <f t="shared" si="119"/>
        <v>0</v>
      </c>
      <c r="AG388" s="683">
        <v>0</v>
      </c>
      <c r="AH388" s="683">
        <v>0</v>
      </c>
      <c r="AI388" s="683">
        <v>0</v>
      </c>
      <c r="AJ388" s="683">
        <v>0</v>
      </c>
      <c r="AK388" s="683">
        <v>0</v>
      </c>
      <c r="AL388" s="683">
        <v>0</v>
      </c>
      <c r="AM388" s="683">
        <v>0</v>
      </c>
      <c r="AN388" s="683">
        <v>0</v>
      </c>
      <c r="AO388" s="683">
        <v>0</v>
      </c>
      <c r="AP388" s="683">
        <v>0</v>
      </c>
      <c r="AQ388" s="683">
        <v>0</v>
      </c>
      <c r="AR388" s="683">
        <v>0</v>
      </c>
      <c r="AS388" s="685">
        <f t="shared" si="125"/>
        <v>0</v>
      </c>
      <c r="AU388" s="686">
        <f t="shared" si="113"/>
        <v>23</v>
      </c>
      <c r="AV388" s="665">
        <f t="shared" si="118"/>
        <v>0</v>
      </c>
      <c r="AW388" s="687">
        <f t="shared" si="114"/>
        <v>-1</v>
      </c>
      <c r="AX388" s="663">
        <f t="shared" si="115"/>
        <v>0</v>
      </c>
      <c r="AY388" s="713">
        <v>0</v>
      </c>
      <c r="BC388" s="688">
        <f t="shared" si="117"/>
        <v>2.4657534246575342E-2</v>
      </c>
    </row>
    <row r="389" spans="1:55" x14ac:dyDescent="0.25">
      <c r="B389" s="662" t="s">
        <v>1191</v>
      </c>
      <c r="C389" s="662" t="s">
        <v>932</v>
      </c>
      <c r="D389" s="663"/>
      <c r="E389" s="662">
        <v>2</v>
      </c>
      <c r="F389" s="662">
        <v>4</v>
      </c>
      <c r="H389" s="662">
        <v>2</v>
      </c>
      <c r="I389" s="662">
        <v>1</v>
      </c>
      <c r="J389" s="662">
        <v>1</v>
      </c>
      <c r="K389" s="662">
        <v>2</v>
      </c>
      <c r="L389" s="662">
        <v>2</v>
      </c>
      <c r="N389" s="662">
        <v>1</v>
      </c>
      <c r="O389" s="662">
        <v>2</v>
      </c>
      <c r="P389" s="662">
        <v>1</v>
      </c>
      <c r="Q389" s="681">
        <f t="shared" si="112"/>
        <v>18</v>
      </c>
      <c r="U389" s="662">
        <v>1</v>
      </c>
      <c r="V389" s="662">
        <v>2</v>
      </c>
      <c r="W389" s="683">
        <v>1</v>
      </c>
      <c r="X389" s="683">
        <v>1</v>
      </c>
      <c r="Y389" s="683">
        <v>2</v>
      </c>
      <c r="Z389" s="683">
        <v>2</v>
      </c>
      <c r="AA389" s="683">
        <v>0</v>
      </c>
      <c r="AB389" s="683">
        <v>1</v>
      </c>
      <c r="AC389" s="683">
        <v>2</v>
      </c>
      <c r="AD389" s="683">
        <v>1</v>
      </c>
      <c r="AE389" s="684">
        <f t="shared" si="119"/>
        <v>13</v>
      </c>
      <c r="AG389" s="663">
        <v>2</v>
      </c>
      <c r="AH389" s="663">
        <v>1</v>
      </c>
      <c r="AI389" s="663">
        <v>2</v>
      </c>
      <c r="AJ389" s="663">
        <v>1</v>
      </c>
      <c r="AK389" s="663">
        <v>2</v>
      </c>
      <c r="AL389" s="663">
        <v>1</v>
      </c>
      <c r="AM389" s="663">
        <v>2</v>
      </c>
      <c r="AN389" s="663">
        <v>1</v>
      </c>
      <c r="AO389" s="663">
        <v>1</v>
      </c>
      <c r="AP389" s="663">
        <v>1</v>
      </c>
      <c r="AQ389" s="663">
        <v>1</v>
      </c>
      <c r="AR389" s="663">
        <v>1</v>
      </c>
      <c r="AS389" s="685">
        <f t="shared" si="125"/>
        <v>16</v>
      </c>
      <c r="AU389" s="686">
        <f t="shared" si="113"/>
        <v>18</v>
      </c>
      <c r="AV389" s="665">
        <f t="shared" si="118"/>
        <v>13</v>
      </c>
      <c r="AW389" s="687">
        <f t="shared" si="114"/>
        <v>-0.27777777777777779</v>
      </c>
      <c r="AX389" s="663">
        <f t="shared" si="115"/>
        <v>16</v>
      </c>
      <c r="AY389" s="713">
        <f t="shared" si="116"/>
        <v>0.23076923076923084</v>
      </c>
      <c r="BC389" s="688">
        <f t="shared" si="117"/>
        <v>3.5616438356164383E-2</v>
      </c>
    </row>
    <row r="390" spans="1:55" x14ac:dyDescent="0.25">
      <c r="C390" s="662" t="s">
        <v>939</v>
      </c>
      <c r="D390" s="663"/>
      <c r="E390" s="662">
        <v>9</v>
      </c>
      <c r="F390" s="662">
        <v>17</v>
      </c>
      <c r="G390" s="662">
        <v>9</v>
      </c>
      <c r="H390" s="662">
        <v>5</v>
      </c>
      <c r="I390" s="662">
        <v>10</v>
      </c>
      <c r="J390" s="662">
        <v>14</v>
      </c>
      <c r="K390" s="662">
        <v>16</v>
      </c>
      <c r="L390" s="662">
        <v>6</v>
      </c>
      <c r="M390" s="662">
        <v>2</v>
      </c>
      <c r="N390" s="662">
        <v>8</v>
      </c>
      <c r="O390" s="662">
        <v>12</v>
      </c>
      <c r="P390" s="662">
        <v>13</v>
      </c>
      <c r="Q390" s="681">
        <f t="shared" si="112"/>
        <v>121</v>
      </c>
      <c r="S390" s="662">
        <v>12</v>
      </c>
      <c r="U390" s="662">
        <v>1</v>
      </c>
      <c r="V390" s="662">
        <v>7</v>
      </c>
      <c r="W390" s="683">
        <v>10</v>
      </c>
      <c r="X390" s="683">
        <v>14</v>
      </c>
      <c r="Y390" s="683">
        <v>16</v>
      </c>
      <c r="Z390" s="683">
        <v>6</v>
      </c>
      <c r="AA390" s="683">
        <v>2</v>
      </c>
      <c r="AB390" s="683">
        <v>8</v>
      </c>
      <c r="AC390" s="683">
        <v>12</v>
      </c>
      <c r="AD390" s="683">
        <v>13</v>
      </c>
      <c r="AE390" s="684">
        <f t="shared" si="119"/>
        <v>101</v>
      </c>
      <c r="AG390" s="663">
        <v>10</v>
      </c>
      <c r="AH390" s="663">
        <v>10</v>
      </c>
      <c r="AI390" s="663">
        <v>10</v>
      </c>
      <c r="AJ390" s="663">
        <v>10</v>
      </c>
      <c r="AK390" s="663">
        <v>10</v>
      </c>
      <c r="AL390" s="663">
        <v>10</v>
      </c>
      <c r="AM390" s="663">
        <v>10</v>
      </c>
      <c r="AN390" s="663">
        <v>10</v>
      </c>
      <c r="AO390" s="663">
        <v>10</v>
      </c>
      <c r="AP390" s="663">
        <v>10</v>
      </c>
      <c r="AQ390" s="663">
        <v>10</v>
      </c>
      <c r="AR390" s="663">
        <v>10</v>
      </c>
      <c r="AS390" s="685">
        <f t="shared" si="125"/>
        <v>120</v>
      </c>
      <c r="AU390" s="686">
        <f t="shared" si="113"/>
        <v>121</v>
      </c>
      <c r="AV390" s="665">
        <f t="shared" si="118"/>
        <v>101</v>
      </c>
      <c r="AW390" s="687">
        <f t="shared" si="114"/>
        <v>-0.16528925619834711</v>
      </c>
      <c r="AX390" s="663">
        <f t="shared" si="115"/>
        <v>120</v>
      </c>
      <c r="AY390" s="713">
        <f t="shared" si="116"/>
        <v>0.18811881188118806</v>
      </c>
      <c r="BC390" s="688">
        <f t="shared" si="117"/>
        <v>0.27671232876712326</v>
      </c>
    </row>
    <row r="391" spans="1:55" x14ac:dyDescent="0.25">
      <c r="C391" s="662" t="s">
        <v>961</v>
      </c>
      <c r="D391" s="663"/>
      <c r="E391" s="662">
        <v>13</v>
      </c>
      <c r="F391" s="662">
        <v>14</v>
      </c>
      <c r="G391" s="662">
        <v>13</v>
      </c>
      <c r="H391" s="662">
        <v>10</v>
      </c>
      <c r="I391" s="662">
        <v>9</v>
      </c>
      <c r="J391" s="662">
        <v>16</v>
      </c>
      <c r="K391" s="662">
        <v>13</v>
      </c>
      <c r="L391" s="662">
        <v>9</v>
      </c>
      <c r="M391" s="662">
        <v>13</v>
      </c>
      <c r="N391" s="662">
        <v>5</v>
      </c>
      <c r="O391" s="662">
        <v>9</v>
      </c>
      <c r="P391" s="662">
        <v>17</v>
      </c>
      <c r="Q391" s="681">
        <f t="shared" si="112"/>
        <v>141</v>
      </c>
      <c r="S391" s="662">
        <v>6</v>
      </c>
      <c r="V391" s="662">
        <v>9</v>
      </c>
      <c r="W391" s="683">
        <v>9</v>
      </c>
      <c r="X391" s="683">
        <v>16</v>
      </c>
      <c r="Y391" s="683">
        <v>13</v>
      </c>
      <c r="Z391" s="683">
        <v>9</v>
      </c>
      <c r="AA391" s="683">
        <v>13</v>
      </c>
      <c r="AB391" s="683">
        <v>5</v>
      </c>
      <c r="AC391" s="683">
        <v>9</v>
      </c>
      <c r="AD391" s="683">
        <v>17</v>
      </c>
      <c r="AE391" s="684">
        <f t="shared" si="119"/>
        <v>106</v>
      </c>
      <c r="AG391" s="663">
        <v>12</v>
      </c>
      <c r="AH391" s="663">
        <v>12</v>
      </c>
      <c r="AI391" s="663">
        <v>12</v>
      </c>
      <c r="AJ391" s="663">
        <v>12</v>
      </c>
      <c r="AK391" s="663">
        <v>12</v>
      </c>
      <c r="AL391" s="663">
        <v>12</v>
      </c>
      <c r="AM391" s="663">
        <v>12</v>
      </c>
      <c r="AN391" s="663">
        <v>12</v>
      </c>
      <c r="AO391" s="663">
        <v>12</v>
      </c>
      <c r="AP391" s="663">
        <v>12</v>
      </c>
      <c r="AQ391" s="663">
        <v>12</v>
      </c>
      <c r="AR391" s="663">
        <v>12</v>
      </c>
      <c r="AS391" s="685">
        <f t="shared" si="125"/>
        <v>144</v>
      </c>
      <c r="AU391" s="686">
        <f t="shared" si="113"/>
        <v>141</v>
      </c>
      <c r="AV391" s="665">
        <f t="shared" si="118"/>
        <v>106</v>
      </c>
      <c r="AW391" s="687">
        <f t="shared" si="114"/>
        <v>-0.24822695035460995</v>
      </c>
      <c r="AX391" s="663">
        <f t="shared" si="115"/>
        <v>144</v>
      </c>
      <c r="AY391" s="713">
        <f t="shared" si="116"/>
        <v>0.35849056603773577</v>
      </c>
      <c r="BC391" s="688">
        <f t="shared" si="117"/>
        <v>0.29041095890410956</v>
      </c>
    </row>
    <row r="392" spans="1:55" x14ac:dyDescent="0.25">
      <c r="B392" s="662" t="s">
        <v>1192</v>
      </c>
      <c r="C392" s="662" t="s">
        <v>932</v>
      </c>
      <c r="D392" s="663"/>
      <c r="E392" s="662">
        <v>3</v>
      </c>
      <c r="I392" s="662">
        <v>1</v>
      </c>
      <c r="M392" s="662">
        <v>2</v>
      </c>
      <c r="N392" s="662">
        <v>1</v>
      </c>
      <c r="O392" s="662">
        <v>3</v>
      </c>
      <c r="Q392" s="681">
        <f t="shared" ref="Q392:Q448" si="126">SUM(E392:P392)</f>
        <v>10</v>
      </c>
      <c r="S392" s="662">
        <v>1</v>
      </c>
      <c r="T392" s="662">
        <v>2</v>
      </c>
      <c r="V392" s="662">
        <v>1</v>
      </c>
      <c r="W392" s="683">
        <v>0</v>
      </c>
      <c r="X392" s="683">
        <v>1</v>
      </c>
      <c r="Y392" s="683">
        <v>1</v>
      </c>
      <c r="Z392" s="683">
        <v>0</v>
      </c>
      <c r="AA392" s="683">
        <v>1</v>
      </c>
      <c r="AB392" s="683">
        <v>1</v>
      </c>
      <c r="AC392" s="683">
        <v>1</v>
      </c>
      <c r="AD392" s="683">
        <v>1</v>
      </c>
      <c r="AE392" s="684">
        <f t="shared" si="119"/>
        <v>10</v>
      </c>
      <c r="AG392" s="663">
        <v>1</v>
      </c>
      <c r="AH392" s="663">
        <v>1</v>
      </c>
      <c r="AI392" s="663">
        <v>1</v>
      </c>
      <c r="AJ392" s="663">
        <v>1</v>
      </c>
      <c r="AK392" s="663">
        <v>1</v>
      </c>
      <c r="AL392" s="663">
        <v>1</v>
      </c>
      <c r="AM392" s="663">
        <v>1</v>
      </c>
      <c r="AN392" s="663">
        <v>1</v>
      </c>
      <c r="AO392" s="663">
        <v>1</v>
      </c>
      <c r="AP392" s="663">
        <v>1</v>
      </c>
      <c r="AQ392" s="663">
        <v>1</v>
      </c>
      <c r="AR392" s="663">
        <v>1</v>
      </c>
      <c r="AS392" s="685">
        <f t="shared" si="125"/>
        <v>12</v>
      </c>
      <c r="AU392" s="686">
        <f t="shared" ref="AU392:AU448" si="127">Q392</f>
        <v>10</v>
      </c>
      <c r="AV392" s="665">
        <f t="shared" si="118"/>
        <v>10</v>
      </c>
      <c r="AW392" s="687">
        <f t="shared" ref="AW392:AW448" si="128">(AV392/AU392)-1</f>
        <v>0</v>
      </c>
      <c r="AX392" s="663">
        <f t="shared" ref="AX392:AX448" si="129">AS392</f>
        <v>12</v>
      </c>
      <c r="AY392" s="713">
        <f t="shared" ref="AY392:AY448" si="130">(AX392/AV392)-1</f>
        <v>0.19999999999999996</v>
      </c>
      <c r="BC392" s="688">
        <f t="shared" ref="BC392:BC447" si="131">(I392+J392+K392+L392+M392+N392+O392+P392+S392+T392+U392+V392)/365</f>
        <v>3.0136986301369864E-2</v>
      </c>
    </row>
    <row r="393" spans="1:55" x14ac:dyDescent="0.25">
      <c r="C393" s="662" t="s">
        <v>939</v>
      </c>
      <c r="D393" s="663"/>
      <c r="E393" s="662">
        <v>2</v>
      </c>
      <c r="F393" s="662">
        <v>10</v>
      </c>
      <c r="G393" s="662">
        <v>11</v>
      </c>
      <c r="H393" s="662">
        <v>13</v>
      </c>
      <c r="I393" s="662">
        <v>15</v>
      </c>
      <c r="J393" s="662">
        <v>20</v>
      </c>
      <c r="K393" s="662">
        <v>15</v>
      </c>
      <c r="L393" s="662">
        <v>11</v>
      </c>
      <c r="M393" s="662">
        <v>19</v>
      </c>
      <c r="N393" s="662">
        <v>12</v>
      </c>
      <c r="O393" s="662">
        <v>19</v>
      </c>
      <c r="P393" s="662">
        <v>17</v>
      </c>
      <c r="Q393" s="681">
        <f t="shared" si="126"/>
        <v>164</v>
      </c>
      <c r="S393" s="662">
        <v>14</v>
      </c>
      <c r="T393" s="662">
        <v>23</v>
      </c>
      <c r="U393" s="662">
        <v>8</v>
      </c>
      <c r="V393" s="662">
        <v>21</v>
      </c>
      <c r="W393" s="683">
        <v>15</v>
      </c>
      <c r="X393" s="683">
        <v>20</v>
      </c>
      <c r="Y393" s="683">
        <v>15</v>
      </c>
      <c r="Z393" s="683">
        <v>11</v>
      </c>
      <c r="AA393" s="683">
        <v>19</v>
      </c>
      <c r="AB393" s="683">
        <v>12</v>
      </c>
      <c r="AC393" s="683">
        <v>19</v>
      </c>
      <c r="AD393" s="683">
        <v>17</v>
      </c>
      <c r="AE393" s="684">
        <f t="shared" si="119"/>
        <v>194</v>
      </c>
      <c r="AG393" s="663">
        <v>17</v>
      </c>
      <c r="AH393" s="663">
        <v>17</v>
      </c>
      <c r="AI393" s="663">
        <v>16</v>
      </c>
      <c r="AJ393" s="663">
        <v>16</v>
      </c>
      <c r="AK393" s="663">
        <v>16</v>
      </c>
      <c r="AL393" s="663">
        <v>16</v>
      </c>
      <c r="AM393" s="663">
        <v>16</v>
      </c>
      <c r="AN393" s="663">
        <v>16</v>
      </c>
      <c r="AO393" s="663">
        <v>17</v>
      </c>
      <c r="AP393" s="663">
        <v>17</v>
      </c>
      <c r="AQ393" s="663">
        <v>17</v>
      </c>
      <c r="AR393" s="663">
        <v>17</v>
      </c>
      <c r="AS393" s="685">
        <f t="shared" si="125"/>
        <v>198</v>
      </c>
      <c r="AU393" s="686">
        <f t="shared" si="127"/>
        <v>164</v>
      </c>
      <c r="AV393" s="665">
        <f t="shared" si="118"/>
        <v>194</v>
      </c>
      <c r="AW393" s="687">
        <f t="shared" si="128"/>
        <v>0.18292682926829262</v>
      </c>
      <c r="AX393" s="663">
        <f t="shared" si="129"/>
        <v>198</v>
      </c>
      <c r="AY393" s="713">
        <f t="shared" si="130"/>
        <v>2.0618556701030855E-2</v>
      </c>
      <c r="BC393" s="688">
        <f t="shared" si="131"/>
        <v>0.53150684931506853</v>
      </c>
    </row>
    <row r="394" spans="1:55" x14ac:dyDescent="0.25">
      <c r="C394" s="662" t="s">
        <v>961</v>
      </c>
      <c r="D394" s="663"/>
      <c r="E394" s="662">
        <v>1</v>
      </c>
      <c r="Q394" s="681">
        <f t="shared" si="126"/>
        <v>1</v>
      </c>
      <c r="W394" s="683">
        <v>0</v>
      </c>
      <c r="X394" s="683">
        <v>0</v>
      </c>
      <c r="Y394" s="683">
        <v>0</v>
      </c>
      <c r="Z394" s="683">
        <v>0</v>
      </c>
      <c r="AA394" s="683">
        <v>0</v>
      </c>
      <c r="AB394" s="683">
        <v>0</v>
      </c>
      <c r="AC394" s="683">
        <v>0</v>
      </c>
      <c r="AD394" s="683">
        <v>0</v>
      </c>
      <c r="AE394" s="684">
        <f t="shared" si="119"/>
        <v>0</v>
      </c>
      <c r="AG394" s="663">
        <v>0</v>
      </c>
      <c r="AH394" s="663">
        <v>0</v>
      </c>
      <c r="AI394" s="663">
        <v>0</v>
      </c>
      <c r="AJ394" s="663">
        <v>0</v>
      </c>
      <c r="AK394" s="663">
        <v>0</v>
      </c>
      <c r="AL394" s="663">
        <v>0</v>
      </c>
      <c r="AM394" s="663">
        <v>0</v>
      </c>
      <c r="AN394" s="663">
        <v>0</v>
      </c>
      <c r="AO394" s="663">
        <v>0</v>
      </c>
      <c r="AP394" s="663">
        <v>0</v>
      </c>
      <c r="AQ394" s="663">
        <v>0</v>
      </c>
      <c r="AR394" s="663">
        <v>0</v>
      </c>
      <c r="AS394" s="685">
        <f t="shared" si="125"/>
        <v>0</v>
      </c>
      <c r="AU394" s="686">
        <f t="shared" si="127"/>
        <v>1</v>
      </c>
      <c r="AV394" s="665">
        <f t="shared" ref="AV394:AV448" si="132">AE394</f>
        <v>0</v>
      </c>
      <c r="AW394" s="687">
        <f t="shared" si="128"/>
        <v>-1</v>
      </c>
      <c r="AX394" s="663">
        <f t="shared" si="129"/>
        <v>0</v>
      </c>
      <c r="AY394" s="713">
        <v>0</v>
      </c>
      <c r="BC394" s="688">
        <f t="shared" si="131"/>
        <v>0</v>
      </c>
    </row>
    <row r="395" spans="1:55" x14ac:dyDescent="0.25">
      <c r="B395" s="662" t="s">
        <v>1193</v>
      </c>
      <c r="C395" s="662" t="s">
        <v>932</v>
      </c>
      <c r="D395" s="663"/>
      <c r="I395" s="662">
        <v>1</v>
      </c>
      <c r="J395" s="662">
        <v>1</v>
      </c>
      <c r="K395" s="662">
        <v>4</v>
      </c>
      <c r="M395" s="662">
        <v>1</v>
      </c>
      <c r="N395" s="662">
        <v>4</v>
      </c>
      <c r="Q395" s="681">
        <f t="shared" si="126"/>
        <v>11</v>
      </c>
      <c r="T395" s="662">
        <v>1</v>
      </c>
      <c r="V395" s="662">
        <v>2</v>
      </c>
      <c r="W395" s="683">
        <v>1</v>
      </c>
      <c r="X395" s="683">
        <v>1</v>
      </c>
      <c r="Y395" s="683">
        <v>1</v>
      </c>
      <c r="Z395" s="683">
        <v>1</v>
      </c>
      <c r="AA395" s="683">
        <v>1</v>
      </c>
      <c r="AB395" s="683">
        <v>1</v>
      </c>
      <c r="AC395" s="683">
        <v>1</v>
      </c>
      <c r="AD395" s="683">
        <v>1</v>
      </c>
      <c r="AE395" s="684">
        <f t="shared" si="119"/>
        <v>11</v>
      </c>
      <c r="AG395" s="663">
        <v>1</v>
      </c>
      <c r="AH395" s="663">
        <v>1</v>
      </c>
      <c r="AI395" s="663">
        <v>1</v>
      </c>
      <c r="AJ395" s="663">
        <v>1</v>
      </c>
      <c r="AK395" s="663">
        <v>1</v>
      </c>
      <c r="AL395" s="663">
        <v>1</v>
      </c>
      <c r="AM395" s="663">
        <v>1</v>
      </c>
      <c r="AN395" s="663">
        <v>1</v>
      </c>
      <c r="AO395" s="663">
        <v>1</v>
      </c>
      <c r="AP395" s="663">
        <v>1</v>
      </c>
      <c r="AQ395" s="663">
        <v>1</v>
      </c>
      <c r="AR395" s="663">
        <v>1</v>
      </c>
      <c r="AS395" s="685">
        <f t="shared" si="125"/>
        <v>12</v>
      </c>
      <c r="AU395" s="686">
        <f t="shared" si="127"/>
        <v>11</v>
      </c>
      <c r="AV395" s="665">
        <f t="shared" si="132"/>
        <v>11</v>
      </c>
      <c r="AW395" s="687">
        <f t="shared" si="128"/>
        <v>0</v>
      </c>
      <c r="AX395" s="663">
        <f t="shared" si="129"/>
        <v>12</v>
      </c>
      <c r="AY395" s="713">
        <f t="shared" si="130"/>
        <v>9.0909090909090828E-2</v>
      </c>
      <c r="BC395" s="688">
        <f t="shared" si="131"/>
        <v>3.8356164383561646E-2</v>
      </c>
    </row>
    <row r="396" spans="1:55" x14ac:dyDescent="0.25">
      <c r="C396" s="662" t="s">
        <v>939</v>
      </c>
      <c r="D396" s="663"/>
      <c r="E396" s="662">
        <v>2</v>
      </c>
      <c r="F396" s="662">
        <v>17</v>
      </c>
      <c r="G396" s="662">
        <v>9</v>
      </c>
      <c r="H396" s="662">
        <v>19</v>
      </c>
      <c r="I396" s="662">
        <v>10</v>
      </c>
      <c r="J396" s="662">
        <v>10</v>
      </c>
      <c r="K396" s="662">
        <v>8</v>
      </c>
      <c r="L396" s="662">
        <v>8</v>
      </c>
      <c r="M396" s="662">
        <v>9</v>
      </c>
      <c r="N396" s="662">
        <v>9</v>
      </c>
      <c r="O396" s="662">
        <v>16</v>
      </c>
      <c r="P396" s="662">
        <v>12</v>
      </c>
      <c r="Q396" s="681">
        <f t="shared" si="126"/>
        <v>129</v>
      </c>
      <c r="S396" s="662">
        <v>14</v>
      </c>
      <c r="T396" s="662">
        <v>13</v>
      </c>
      <c r="U396" s="662">
        <v>11</v>
      </c>
      <c r="V396" s="662">
        <v>3</v>
      </c>
      <c r="W396" s="683">
        <v>10</v>
      </c>
      <c r="X396" s="683">
        <v>10</v>
      </c>
      <c r="Y396" s="683">
        <v>8</v>
      </c>
      <c r="Z396" s="683">
        <v>8</v>
      </c>
      <c r="AA396" s="683">
        <v>9</v>
      </c>
      <c r="AB396" s="683">
        <v>9</v>
      </c>
      <c r="AC396" s="683">
        <v>16</v>
      </c>
      <c r="AD396" s="683">
        <v>12</v>
      </c>
      <c r="AE396" s="684">
        <f t="shared" si="119"/>
        <v>123</v>
      </c>
      <c r="AG396" s="663">
        <v>11</v>
      </c>
      <c r="AH396" s="663">
        <v>11</v>
      </c>
      <c r="AI396" s="663">
        <v>11</v>
      </c>
      <c r="AJ396" s="663">
        <v>11</v>
      </c>
      <c r="AK396" s="663">
        <v>11</v>
      </c>
      <c r="AL396" s="663">
        <v>11</v>
      </c>
      <c r="AM396" s="663">
        <v>11</v>
      </c>
      <c r="AN396" s="663">
        <v>10</v>
      </c>
      <c r="AO396" s="663">
        <v>10</v>
      </c>
      <c r="AP396" s="663">
        <v>10</v>
      </c>
      <c r="AQ396" s="663">
        <v>10</v>
      </c>
      <c r="AR396" s="663">
        <v>10</v>
      </c>
      <c r="AS396" s="685">
        <f t="shared" si="125"/>
        <v>127</v>
      </c>
      <c r="AU396" s="686">
        <f t="shared" si="127"/>
        <v>129</v>
      </c>
      <c r="AV396" s="665">
        <f t="shared" si="132"/>
        <v>123</v>
      </c>
      <c r="AW396" s="687">
        <f t="shared" si="128"/>
        <v>-4.6511627906976716E-2</v>
      </c>
      <c r="AX396" s="663">
        <f t="shared" si="129"/>
        <v>127</v>
      </c>
      <c r="AY396" s="713">
        <f t="shared" si="130"/>
        <v>3.2520325203251987E-2</v>
      </c>
      <c r="BC396" s="688">
        <f t="shared" si="131"/>
        <v>0.33698630136986302</v>
      </c>
    </row>
    <row r="397" spans="1:55" x14ac:dyDescent="0.25">
      <c r="C397" s="662" t="s">
        <v>961</v>
      </c>
      <c r="D397" s="663"/>
      <c r="E397" s="662">
        <v>7</v>
      </c>
      <c r="F397" s="662">
        <v>12</v>
      </c>
      <c r="G397" s="662">
        <v>11</v>
      </c>
      <c r="H397" s="662">
        <v>11</v>
      </c>
      <c r="I397" s="662">
        <v>5</v>
      </c>
      <c r="J397" s="662">
        <v>13</v>
      </c>
      <c r="K397" s="662">
        <v>10</v>
      </c>
      <c r="L397" s="662">
        <v>9</v>
      </c>
      <c r="M397" s="662">
        <v>11</v>
      </c>
      <c r="N397" s="662">
        <v>5</v>
      </c>
      <c r="O397" s="662">
        <v>7</v>
      </c>
      <c r="P397" s="662">
        <v>5</v>
      </c>
      <c r="Q397" s="681">
        <f t="shared" si="126"/>
        <v>106</v>
      </c>
      <c r="S397" s="662">
        <v>5</v>
      </c>
      <c r="T397" s="662">
        <v>14</v>
      </c>
      <c r="U397" s="662">
        <v>11</v>
      </c>
      <c r="V397" s="662">
        <v>8</v>
      </c>
      <c r="W397" s="683">
        <v>5</v>
      </c>
      <c r="X397" s="683">
        <v>13</v>
      </c>
      <c r="Y397" s="683">
        <v>10</v>
      </c>
      <c r="Z397" s="683">
        <v>9</v>
      </c>
      <c r="AA397" s="683">
        <v>11</v>
      </c>
      <c r="AB397" s="683">
        <v>5</v>
      </c>
      <c r="AC397" s="683">
        <v>7</v>
      </c>
      <c r="AD397" s="683">
        <v>5</v>
      </c>
      <c r="AE397" s="684">
        <f t="shared" si="119"/>
        <v>103</v>
      </c>
      <c r="AG397" s="663">
        <v>9</v>
      </c>
      <c r="AH397" s="663">
        <v>9</v>
      </c>
      <c r="AI397" s="663">
        <v>9</v>
      </c>
      <c r="AJ397" s="663">
        <v>9</v>
      </c>
      <c r="AK397" s="663">
        <v>9</v>
      </c>
      <c r="AL397" s="663">
        <v>9</v>
      </c>
      <c r="AM397" s="663">
        <v>9</v>
      </c>
      <c r="AN397" s="663">
        <v>9</v>
      </c>
      <c r="AO397" s="663">
        <v>9</v>
      </c>
      <c r="AP397" s="663">
        <v>9</v>
      </c>
      <c r="AQ397" s="663">
        <v>9</v>
      </c>
      <c r="AR397" s="663">
        <v>9</v>
      </c>
      <c r="AS397" s="685">
        <f t="shared" si="125"/>
        <v>108</v>
      </c>
      <c r="AU397" s="686">
        <f t="shared" si="127"/>
        <v>106</v>
      </c>
      <c r="AV397" s="665">
        <f t="shared" si="132"/>
        <v>103</v>
      </c>
      <c r="AW397" s="687">
        <f t="shared" si="128"/>
        <v>-2.8301886792452824E-2</v>
      </c>
      <c r="AX397" s="663">
        <f t="shared" si="129"/>
        <v>108</v>
      </c>
      <c r="AY397" s="713">
        <f t="shared" si="130"/>
        <v>4.8543689320388328E-2</v>
      </c>
      <c r="BC397" s="688">
        <f t="shared" si="131"/>
        <v>0.28219178082191781</v>
      </c>
    </row>
    <row r="398" spans="1:55" x14ac:dyDescent="0.25">
      <c r="A398" s="693" t="s">
        <v>1194</v>
      </c>
      <c r="B398" s="693"/>
      <c r="C398" s="693"/>
      <c r="D398" s="694"/>
      <c r="E398" s="693">
        <v>45</v>
      </c>
      <c r="F398" s="693">
        <v>83</v>
      </c>
      <c r="G398" s="693">
        <v>57</v>
      </c>
      <c r="H398" s="693">
        <v>63</v>
      </c>
      <c r="I398" s="693">
        <v>62</v>
      </c>
      <c r="J398" s="693">
        <v>80</v>
      </c>
      <c r="K398" s="693">
        <v>68</v>
      </c>
      <c r="L398" s="693">
        <v>47</v>
      </c>
      <c r="M398" s="693">
        <v>57</v>
      </c>
      <c r="N398" s="693">
        <v>45</v>
      </c>
      <c r="O398" s="693">
        <v>68</v>
      </c>
      <c r="P398" s="693">
        <v>65</v>
      </c>
      <c r="Q398" s="695">
        <f t="shared" si="126"/>
        <v>740</v>
      </c>
      <c r="R398" s="695"/>
      <c r="S398" s="693">
        <v>52</v>
      </c>
      <c r="T398" s="693">
        <v>53</v>
      </c>
      <c r="U398" s="693">
        <v>38</v>
      </c>
      <c r="V398" s="693">
        <v>65</v>
      </c>
      <c r="W398" s="696">
        <f>SUM(W384:W397)</f>
        <v>56</v>
      </c>
      <c r="X398" s="696">
        <f t="shared" ref="X398:AD398" si="133">SUM(X384:X397)</f>
        <v>82</v>
      </c>
      <c r="Y398" s="696">
        <f t="shared" si="133"/>
        <v>77</v>
      </c>
      <c r="Z398" s="696">
        <f t="shared" si="133"/>
        <v>51</v>
      </c>
      <c r="AA398" s="696">
        <f t="shared" si="133"/>
        <v>66</v>
      </c>
      <c r="AB398" s="696">
        <f t="shared" si="133"/>
        <v>49</v>
      </c>
      <c r="AC398" s="696">
        <f t="shared" si="133"/>
        <v>76</v>
      </c>
      <c r="AD398" s="696">
        <f t="shared" si="133"/>
        <v>73</v>
      </c>
      <c r="AE398" s="697">
        <f t="shared" si="119"/>
        <v>738</v>
      </c>
      <c r="AF398" s="694"/>
      <c r="AG398" s="694">
        <f t="shared" ref="AG398:AR398" si="134">SUM(AG384:AG397)</f>
        <v>72</v>
      </c>
      <c r="AH398" s="694">
        <f t="shared" si="134"/>
        <v>71</v>
      </c>
      <c r="AI398" s="694">
        <f t="shared" si="134"/>
        <v>71</v>
      </c>
      <c r="AJ398" s="694">
        <f t="shared" si="134"/>
        <v>70</v>
      </c>
      <c r="AK398" s="694">
        <f t="shared" si="134"/>
        <v>71</v>
      </c>
      <c r="AL398" s="694">
        <f t="shared" si="134"/>
        <v>70</v>
      </c>
      <c r="AM398" s="694">
        <f t="shared" si="134"/>
        <v>71</v>
      </c>
      <c r="AN398" s="694">
        <f t="shared" si="134"/>
        <v>69</v>
      </c>
      <c r="AO398" s="694">
        <f t="shared" si="134"/>
        <v>70</v>
      </c>
      <c r="AP398" s="694">
        <f t="shared" si="134"/>
        <v>70</v>
      </c>
      <c r="AQ398" s="694">
        <f t="shared" si="134"/>
        <v>70</v>
      </c>
      <c r="AR398" s="694">
        <f t="shared" si="134"/>
        <v>70</v>
      </c>
      <c r="AS398" s="694">
        <f>SUM(AS384:AS397)</f>
        <v>845</v>
      </c>
      <c r="AT398" s="694"/>
      <c r="AU398" s="697">
        <f t="shared" si="127"/>
        <v>740</v>
      </c>
      <c r="AV398" s="697">
        <f t="shared" si="132"/>
        <v>738</v>
      </c>
      <c r="AW398" s="698">
        <f t="shared" si="128"/>
        <v>-2.7027027027026751E-3</v>
      </c>
      <c r="AX398" s="694">
        <f t="shared" si="129"/>
        <v>845</v>
      </c>
      <c r="AY398" s="698">
        <f t="shared" si="130"/>
        <v>0.1449864498644986</v>
      </c>
      <c r="AZ398" s="698"/>
      <c r="BA398" s="698"/>
      <c r="BC398" s="688">
        <f t="shared" si="131"/>
        <v>1.9178082191780821</v>
      </c>
    </row>
    <row r="399" spans="1:55" x14ac:dyDescent="0.25">
      <c r="A399" s="664" t="s">
        <v>1195</v>
      </c>
      <c r="B399" s="662" t="s">
        <v>1196</v>
      </c>
      <c r="C399" s="662" t="s">
        <v>1059</v>
      </c>
      <c r="D399" s="663" t="s">
        <v>1197</v>
      </c>
      <c r="E399" s="662">
        <v>79</v>
      </c>
      <c r="F399" s="662">
        <v>71</v>
      </c>
      <c r="G399" s="662">
        <v>62</v>
      </c>
      <c r="H399" s="662">
        <v>51</v>
      </c>
      <c r="I399" s="662">
        <v>67</v>
      </c>
      <c r="J399" s="662">
        <v>82</v>
      </c>
      <c r="K399" s="662">
        <v>66</v>
      </c>
      <c r="L399" s="662">
        <v>61</v>
      </c>
      <c r="M399" s="662">
        <v>138</v>
      </c>
      <c r="N399" s="662">
        <v>93</v>
      </c>
      <c r="O399" s="662">
        <v>91</v>
      </c>
      <c r="Q399" s="681">
        <f t="shared" si="126"/>
        <v>861</v>
      </c>
      <c r="W399" s="683">
        <v>0</v>
      </c>
      <c r="X399" s="683">
        <v>0</v>
      </c>
      <c r="Y399" s="683">
        <v>0</v>
      </c>
      <c r="Z399" s="683">
        <v>0</v>
      </c>
      <c r="AA399" s="683">
        <v>0</v>
      </c>
      <c r="AB399" s="683">
        <v>0</v>
      </c>
      <c r="AC399" s="683">
        <v>0</v>
      </c>
      <c r="AD399" s="683">
        <v>0</v>
      </c>
      <c r="AE399" s="684">
        <f t="shared" ref="AE399:AE447" si="135">SUM(S399:AD399)</f>
        <v>0</v>
      </c>
      <c r="AG399" s="683">
        <v>0</v>
      </c>
      <c r="AH399" s="683">
        <v>0</v>
      </c>
      <c r="AI399" s="683">
        <v>0</v>
      </c>
      <c r="AJ399" s="683">
        <v>0</v>
      </c>
      <c r="AK399" s="683">
        <v>0</v>
      </c>
      <c r="AL399" s="683">
        <v>0</v>
      </c>
      <c r="AM399" s="683">
        <v>0</v>
      </c>
      <c r="AN399" s="683">
        <v>0</v>
      </c>
      <c r="AO399" s="683">
        <v>0</v>
      </c>
      <c r="AP399" s="683">
        <v>0</v>
      </c>
      <c r="AQ399" s="683">
        <v>0</v>
      </c>
      <c r="AR399" s="683">
        <v>0</v>
      </c>
      <c r="AS399" s="685">
        <f t="shared" ref="AS399:AS403" si="136">SUM(AG399:AR399)</f>
        <v>0</v>
      </c>
      <c r="AU399" s="686">
        <f t="shared" si="127"/>
        <v>861</v>
      </c>
      <c r="AV399" s="665">
        <f t="shared" si="132"/>
        <v>0</v>
      </c>
      <c r="AW399" s="687">
        <f t="shared" si="128"/>
        <v>-1</v>
      </c>
      <c r="AX399" s="663">
        <f t="shared" si="129"/>
        <v>0</v>
      </c>
      <c r="AY399" s="713">
        <v>0</v>
      </c>
      <c r="BC399" s="688">
        <f t="shared" si="131"/>
        <v>1.6383561643835616</v>
      </c>
    </row>
    <row r="400" spans="1:55" x14ac:dyDescent="0.25">
      <c r="B400" s="662" t="s">
        <v>1198</v>
      </c>
      <c r="C400" s="662" t="s">
        <v>1059</v>
      </c>
      <c r="D400" s="663" t="s">
        <v>1197</v>
      </c>
      <c r="F400" s="662">
        <v>12</v>
      </c>
      <c r="H400" s="662">
        <v>19</v>
      </c>
      <c r="I400" s="662">
        <v>9</v>
      </c>
      <c r="Q400" s="681">
        <f t="shared" si="126"/>
        <v>40</v>
      </c>
      <c r="W400" s="683">
        <v>0</v>
      </c>
      <c r="X400" s="683">
        <v>0</v>
      </c>
      <c r="Y400" s="683">
        <v>0</v>
      </c>
      <c r="Z400" s="683">
        <v>0</v>
      </c>
      <c r="AA400" s="683">
        <v>0</v>
      </c>
      <c r="AB400" s="683">
        <v>0</v>
      </c>
      <c r="AC400" s="683">
        <v>0</v>
      </c>
      <c r="AD400" s="683">
        <v>0</v>
      </c>
      <c r="AE400" s="684">
        <f t="shared" si="135"/>
        <v>0</v>
      </c>
      <c r="AG400" s="683">
        <v>0</v>
      </c>
      <c r="AH400" s="683">
        <v>0</v>
      </c>
      <c r="AI400" s="683">
        <v>0</v>
      </c>
      <c r="AJ400" s="683">
        <v>0</v>
      </c>
      <c r="AK400" s="683">
        <v>0</v>
      </c>
      <c r="AL400" s="683">
        <v>0</v>
      </c>
      <c r="AM400" s="683">
        <v>0</v>
      </c>
      <c r="AN400" s="683">
        <v>0</v>
      </c>
      <c r="AO400" s="683">
        <v>0</v>
      </c>
      <c r="AP400" s="683">
        <v>0</v>
      </c>
      <c r="AQ400" s="683">
        <v>0</v>
      </c>
      <c r="AR400" s="683">
        <v>0</v>
      </c>
      <c r="AS400" s="685">
        <f t="shared" si="136"/>
        <v>0</v>
      </c>
      <c r="AU400" s="686">
        <f t="shared" si="127"/>
        <v>40</v>
      </c>
      <c r="AV400" s="665">
        <f t="shared" si="132"/>
        <v>0</v>
      </c>
      <c r="AW400" s="687">
        <f t="shared" si="128"/>
        <v>-1</v>
      </c>
      <c r="AX400" s="663">
        <f t="shared" si="129"/>
        <v>0</v>
      </c>
      <c r="AY400" s="713">
        <v>0</v>
      </c>
      <c r="BC400" s="688">
        <f t="shared" si="131"/>
        <v>2.4657534246575342E-2</v>
      </c>
    </row>
    <row r="401" spans="1:55" x14ac:dyDescent="0.25">
      <c r="B401" s="662" t="s">
        <v>1199</v>
      </c>
      <c r="C401" s="662" t="s">
        <v>1059</v>
      </c>
      <c r="D401" s="663" t="s">
        <v>1197</v>
      </c>
      <c r="E401" s="662">
        <v>13</v>
      </c>
      <c r="F401" s="662">
        <v>16</v>
      </c>
      <c r="G401" s="662">
        <v>15</v>
      </c>
      <c r="H401" s="662">
        <v>40</v>
      </c>
      <c r="I401" s="662">
        <v>30</v>
      </c>
      <c r="J401" s="662">
        <v>17</v>
      </c>
      <c r="K401" s="662">
        <v>11</v>
      </c>
      <c r="L401" s="662">
        <v>16</v>
      </c>
      <c r="M401" s="662">
        <v>14</v>
      </c>
      <c r="N401" s="662">
        <v>34</v>
      </c>
      <c r="O401" s="662">
        <v>17</v>
      </c>
      <c r="Q401" s="681">
        <f t="shared" si="126"/>
        <v>223</v>
      </c>
      <c r="W401" s="683">
        <v>0</v>
      </c>
      <c r="X401" s="683">
        <v>0</v>
      </c>
      <c r="Y401" s="683">
        <v>0</v>
      </c>
      <c r="Z401" s="683">
        <v>0</v>
      </c>
      <c r="AA401" s="683">
        <v>0</v>
      </c>
      <c r="AB401" s="683">
        <v>0</v>
      </c>
      <c r="AC401" s="683">
        <v>0</v>
      </c>
      <c r="AD401" s="683">
        <v>0</v>
      </c>
      <c r="AE401" s="684">
        <f t="shared" si="135"/>
        <v>0</v>
      </c>
      <c r="AG401" s="683">
        <v>0</v>
      </c>
      <c r="AH401" s="683">
        <v>0</v>
      </c>
      <c r="AI401" s="683">
        <v>0</v>
      </c>
      <c r="AJ401" s="683">
        <v>0</v>
      </c>
      <c r="AK401" s="683">
        <v>0</v>
      </c>
      <c r="AL401" s="683">
        <v>0</v>
      </c>
      <c r="AM401" s="683">
        <v>0</v>
      </c>
      <c r="AN401" s="683">
        <v>0</v>
      </c>
      <c r="AO401" s="683">
        <v>0</v>
      </c>
      <c r="AP401" s="683">
        <v>0</v>
      </c>
      <c r="AQ401" s="683">
        <v>0</v>
      </c>
      <c r="AR401" s="683">
        <v>0</v>
      </c>
      <c r="AS401" s="685">
        <f t="shared" si="136"/>
        <v>0</v>
      </c>
      <c r="AU401" s="686">
        <f t="shared" si="127"/>
        <v>223</v>
      </c>
      <c r="AV401" s="665">
        <f t="shared" si="132"/>
        <v>0</v>
      </c>
      <c r="AW401" s="687">
        <f t="shared" si="128"/>
        <v>-1</v>
      </c>
      <c r="AX401" s="663">
        <f t="shared" si="129"/>
        <v>0</v>
      </c>
      <c r="AY401" s="713">
        <v>0</v>
      </c>
      <c r="BC401" s="688">
        <f t="shared" si="131"/>
        <v>0.38082191780821917</v>
      </c>
    </row>
    <row r="402" spans="1:55" x14ac:dyDescent="0.25">
      <c r="B402" s="662" t="s">
        <v>1200</v>
      </c>
      <c r="C402" s="662" t="s">
        <v>1059</v>
      </c>
      <c r="D402" s="663" t="s">
        <v>1197</v>
      </c>
      <c r="E402" s="662">
        <v>47</v>
      </c>
      <c r="F402" s="662">
        <v>37</v>
      </c>
      <c r="G402" s="662">
        <v>55</v>
      </c>
      <c r="H402" s="662">
        <v>62</v>
      </c>
      <c r="I402" s="662">
        <v>57</v>
      </c>
      <c r="J402" s="662">
        <v>39</v>
      </c>
      <c r="K402" s="662">
        <v>40</v>
      </c>
      <c r="L402" s="662">
        <v>43</v>
      </c>
      <c r="O402" s="662">
        <v>6</v>
      </c>
      <c r="Q402" s="681">
        <f t="shared" si="126"/>
        <v>386</v>
      </c>
      <c r="W402" s="683">
        <v>0</v>
      </c>
      <c r="X402" s="683">
        <v>0</v>
      </c>
      <c r="Y402" s="683">
        <v>0</v>
      </c>
      <c r="Z402" s="683">
        <v>0</v>
      </c>
      <c r="AA402" s="683">
        <v>0</v>
      </c>
      <c r="AB402" s="683">
        <v>0</v>
      </c>
      <c r="AC402" s="683">
        <v>0</v>
      </c>
      <c r="AD402" s="683">
        <v>0</v>
      </c>
      <c r="AE402" s="684">
        <f t="shared" si="135"/>
        <v>0</v>
      </c>
      <c r="AG402" s="683">
        <v>0</v>
      </c>
      <c r="AH402" s="683">
        <v>0</v>
      </c>
      <c r="AI402" s="683">
        <v>0</v>
      </c>
      <c r="AJ402" s="683">
        <v>0</v>
      </c>
      <c r="AK402" s="683">
        <v>0</v>
      </c>
      <c r="AL402" s="683">
        <v>0</v>
      </c>
      <c r="AM402" s="683">
        <v>0</v>
      </c>
      <c r="AN402" s="683">
        <v>0</v>
      </c>
      <c r="AO402" s="683">
        <v>0</v>
      </c>
      <c r="AP402" s="683">
        <v>0</v>
      </c>
      <c r="AQ402" s="683">
        <v>0</v>
      </c>
      <c r="AR402" s="683">
        <v>0</v>
      </c>
      <c r="AS402" s="685">
        <f t="shared" si="136"/>
        <v>0</v>
      </c>
      <c r="AU402" s="686">
        <f t="shared" si="127"/>
        <v>386</v>
      </c>
      <c r="AV402" s="665">
        <f t="shared" si="132"/>
        <v>0</v>
      </c>
      <c r="AW402" s="687">
        <f t="shared" si="128"/>
        <v>-1</v>
      </c>
      <c r="AX402" s="663">
        <f t="shared" si="129"/>
        <v>0</v>
      </c>
      <c r="AY402" s="713">
        <v>0</v>
      </c>
      <c r="BC402" s="688">
        <f t="shared" si="131"/>
        <v>0.50684931506849318</v>
      </c>
    </row>
    <row r="403" spans="1:55" x14ac:dyDescent="0.25">
      <c r="B403" s="662" t="s">
        <v>1201</v>
      </c>
      <c r="C403" s="662" t="s">
        <v>1059</v>
      </c>
      <c r="D403" s="663" t="s">
        <v>1197</v>
      </c>
      <c r="N403" s="662">
        <v>37</v>
      </c>
      <c r="O403" s="662">
        <v>39</v>
      </c>
      <c r="Q403" s="681">
        <f t="shared" si="126"/>
        <v>76</v>
      </c>
      <c r="W403" s="683">
        <v>0</v>
      </c>
      <c r="X403" s="683">
        <v>0</v>
      </c>
      <c r="Y403" s="683">
        <v>0</v>
      </c>
      <c r="Z403" s="683">
        <v>0</v>
      </c>
      <c r="AA403" s="683">
        <v>0</v>
      </c>
      <c r="AB403" s="683">
        <v>0</v>
      </c>
      <c r="AC403" s="683">
        <v>0</v>
      </c>
      <c r="AD403" s="683">
        <v>0</v>
      </c>
      <c r="AE403" s="684">
        <f t="shared" si="135"/>
        <v>0</v>
      </c>
      <c r="AG403" s="683">
        <v>0</v>
      </c>
      <c r="AH403" s="683">
        <v>0</v>
      </c>
      <c r="AI403" s="683">
        <v>0</v>
      </c>
      <c r="AJ403" s="683">
        <v>0</v>
      </c>
      <c r="AK403" s="683">
        <v>0</v>
      </c>
      <c r="AL403" s="683">
        <v>0</v>
      </c>
      <c r="AM403" s="683">
        <v>0</v>
      </c>
      <c r="AN403" s="683">
        <v>0</v>
      </c>
      <c r="AO403" s="683">
        <v>0</v>
      </c>
      <c r="AP403" s="683">
        <v>0</v>
      </c>
      <c r="AQ403" s="683">
        <v>0</v>
      </c>
      <c r="AR403" s="683">
        <v>0</v>
      </c>
      <c r="AS403" s="685">
        <f t="shared" si="136"/>
        <v>0</v>
      </c>
      <c r="AU403" s="686">
        <f t="shared" si="127"/>
        <v>76</v>
      </c>
      <c r="AV403" s="665">
        <f t="shared" si="132"/>
        <v>0</v>
      </c>
      <c r="AW403" s="687">
        <f t="shared" si="128"/>
        <v>-1</v>
      </c>
      <c r="AX403" s="663">
        <f t="shared" si="129"/>
        <v>0</v>
      </c>
      <c r="AY403" s="713">
        <v>0</v>
      </c>
      <c r="BC403" s="688">
        <f t="shared" si="131"/>
        <v>0.20821917808219179</v>
      </c>
    </row>
    <row r="404" spans="1:55" x14ac:dyDescent="0.25">
      <c r="A404" s="693" t="s">
        <v>1202</v>
      </c>
      <c r="B404" s="693"/>
      <c r="C404" s="693"/>
      <c r="D404" s="694"/>
      <c r="E404" s="693">
        <v>139</v>
      </c>
      <c r="F404" s="693">
        <v>136</v>
      </c>
      <c r="G404" s="693">
        <v>132</v>
      </c>
      <c r="H404" s="693">
        <v>172</v>
      </c>
      <c r="I404" s="693">
        <v>163</v>
      </c>
      <c r="J404" s="693">
        <v>138</v>
      </c>
      <c r="K404" s="693">
        <v>117</v>
      </c>
      <c r="L404" s="693">
        <v>120</v>
      </c>
      <c r="M404" s="693">
        <v>152</v>
      </c>
      <c r="N404" s="693">
        <v>164</v>
      </c>
      <c r="O404" s="693">
        <v>153</v>
      </c>
      <c r="P404" s="693"/>
      <c r="Q404" s="695">
        <f t="shared" si="126"/>
        <v>1586</v>
      </c>
      <c r="R404" s="695"/>
      <c r="S404" s="693"/>
      <c r="T404" s="693"/>
      <c r="U404" s="693"/>
      <c r="V404" s="693"/>
      <c r="W404" s="696">
        <f>SUM(W399:W403)</f>
        <v>0</v>
      </c>
      <c r="X404" s="696">
        <f t="shared" ref="X404:AD404" si="137">SUM(X399:X403)</f>
        <v>0</v>
      </c>
      <c r="Y404" s="696">
        <f t="shared" si="137"/>
        <v>0</v>
      </c>
      <c r="Z404" s="696">
        <f t="shared" si="137"/>
        <v>0</v>
      </c>
      <c r="AA404" s="696">
        <f t="shared" si="137"/>
        <v>0</v>
      </c>
      <c r="AB404" s="696">
        <f t="shared" si="137"/>
        <v>0</v>
      </c>
      <c r="AC404" s="696">
        <f t="shared" si="137"/>
        <v>0</v>
      </c>
      <c r="AD404" s="696">
        <f t="shared" si="137"/>
        <v>0</v>
      </c>
      <c r="AE404" s="697">
        <f t="shared" si="135"/>
        <v>0</v>
      </c>
      <c r="AF404" s="694"/>
      <c r="AG404" s="694">
        <f t="shared" ref="AG404:AR404" si="138">SUM(AG399:AG403)</f>
        <v>0</v>
      </c>
      <c r="AH404" s="694">
        <f t="shared" si="138"/>
        <v>0</v>
      </c>
      <c r="AI404" s="694">
        <f t="shared" si="138"/>
        <v>0</v>
      </c>
      <c r="AJ404" s="694">
        <f t="shared" si="138"/>
        <v>0</v>
      </c>
      <c r="AK404" s="694">
        <f t="shared" si="138"/>
        <v>0</v>
      </c>
      <c r="AL404" s="694">
        <f t="shared" si="138"/>
        <v>0</v>
      </c>
      <c r="AM404" s="694">
        <f t="shared" si="138"/>
        <v>0</v>
      </c>
      <c r="AN404" s="694">
        <f t="shared" si="138"/>
        <v>0</v>
      </c>
      <c r="AO404" s="694">
        <f t="shared" si="138"/>
        <v>0</v>
      </c>
      <c r="AP404" s="694">
        <f t="shared" si="138"/>
        <v>0</v>
      </c>
      <c r="AQ404" s="694">
        <f t="shared" si="138"/>
        <v>0</v>
      </c>
      <c r="AR404" s="694">
        <f t="shared" si="138"/>
        <v>0</v>
      </c>
      <c r="AS404" s="694">
        <f>SUM(AS399:AS403)</f>
        <v>0</v>
      </c>
      <c r="AT404" s="694"/>
      <c r="AU404" s="697">
        <f t="shared" si="127"/>
        <v>1586</v>
      </c>
      <c r="AV404" s="697">
        <f t="shared" si="132"/>
        <v>0</v>
      </c>
      <c r="AW404" s="698">
        <f t="shared" si="128"/>
        <v>-1</v>
      </c>
      <c r="AX404" s="694">
        <f t="shared" si="129"/>
        <v>0</v>
      </c>
      <c r="AY404" s="698">
        <v>0</v>
      </c>
      <c r="AZ404" s="698"/>
      <c r="BA404" s="698"/>
      <c r="BC404" s="688">
        <f t="shared" si="131"/>
        <v>2.7589041095890412</v>
      </c>
    </row>
    <row r="405" spans="1:55" x14ac:dyDescent="0.25">
      <c r="A405" s="664" t="s">
        <v>1203</v>
      </c>
      <c r="B405" s="662" t="s">
        <v>1204</v>
      </c>
      <c r="C405" s="662" t="s">
        <v>961</v>
      </c>
      <c r="D405" s="663"/>
      <c r="G405" s="662">
        <v>2</v>
      </c>
      <c r="H405" s="662">
        <v>1</v>
      </c>
      <c r="Q405" s="681">
        <f t="shared" si="126"/>
        <v>3</v>
      </c>
      <c r="W405" s="683">
        <v>0</v>
      </c>
      <c r="X405" s="683">
        <v>0</v>
      </c>
      <c r="Y405" s="683">
        <v>0</v>
      </c>
      <c r="Z405" s="683">
        <v>0</v>
      </c>
      <c r="AA405" s="683">
        <v>0</v>
      </c>
      <c r="AB405" s="683">
        <v>0</v>
      </c>
      <c r="AC405" s="683">
        <v>0</v>
      </c>
      <c r="AD405" s="683">
        <v>0</v>
      </c>
      <c r="AE405" s="684">
        <v>0</v>
      </c>
      <c r="AG405" s="663">
        <v>0</v>
      </c>
      <c r="AH405" s="663">
        <v>0</v>
      </c>
      <c r="AI405" s="663">
        <v>0</v>
      </c>
      <c r="AJ405" s="663">
        <v>0</v>
      </c>
      <c r="AK405" s="663">
        <v>0</v>
      </c>
      <c r="AL405" s="663">
        <v>0</v>
      </c>
      <c r="AM405" s="663">
        <v>0</v>
      </c>
      <c r="AN405" s="663">
        <v>0</v>
      </c>
      <c r="AO405" s="663">
        <v>0</v>
      </c>
      <c r="AP405" s="663">
        <v>0</v>
      </c>
      <c r="AQ405" s="663">
        <v>0</v>
      </c>
      <c r="AR405" s="663">
        <v>0</v>
      </c>
      <c r="AS405" s="685">
        <f t="shared" ref="AS405:AS409" si="139">SUM(AG405:AR405)</f>
        <v>0</v>
      </c>
      <c r="AU405" s="686">
        <f t="shared" si="127"/>
        <v>3</v>
      </c>
      <c r="AV405" s="665">
        <f t="shared" si="132"/>
        <v>0</v>
      </c>
      <c r="AW405" s="687">
        <f t="shared" si="128"/>
        <v>-1</v>
      </c>
      <c r="AX405" s="663">
        <f t="shared" si="129"/>
        <v>0</v>
      </c>
      <c r="AY405" s="713">
        <v>0</v>
      </c>
      <c r="BC405" s="688">
        <f t="shared" si="131"/>
        <v>0</v>
      </c>
    </row>
    <row r="406" spans="1:55" x14ac:dyDescent="0.25">
      <c r="B406" s="662" t="s">
        <v>1205</v>
      </c>
      <c r="C406" s="662" t="s">
        <v>961</v>
      </c>
      <c r="D406" s="663"/>
      <c r="E406" s="662">
        <v>1</v>
      </c>
      <c r="F406" s="662">
        <v>3</v>
      </c>
      <c r="N406" s="662">
        <v>1</v>
      </c>
      <c r="O406" s="662">
        <v>6</v>
      </c>
      <c r="P406" s="662">
        <v>2</v>
      </c>
      <c r="Q406" s="681">
        <f t="shared" si="126"/>
        <v>13</v>
      </c>
      <c r="U406" s="662">
        <v>3</v>
      </c>
      <c r="V406" s="662">
        <v>1</v>
      </c>
      <c r="W406" s="683">
        <v>1</v>
      </c>
      <c r="X406" s="683">
        <v>1</v>
      </c>
      <c r="Y406" s="683">
        <v>1</v>
      </c>
      <c r="Z406" s="683">
        <v>1</v>
      </c>
      <c r="AA406" s="683">
        <v>1</v>
      </c>
      <c r="AB406" s="683">
        <v>1</v>
      </c>
      <c r="AC406" s="683">
        <v>1</v>
      </c>
      <c r="AD406" s="683">
        <v>1</v>
      </c>
      <c r="AE406" s="684">
        <f t="shared" si="135"/>
        <v>12</v>
      </c>
      <c r="AG406" s="663">
        <v>1</v>
      </c>
      <c r="AH406" s="663">
        <v>1</v>
      </c>
      <c r="AI406" s="663">
        <v>1</v>
      </c>
      <c r="AJ406" s="663">
        <v>1</v>
      </c>
      <c r="AK406" s="663">
        <v>1</v>
      </c>
      <c r="AL406" s="663">
        <v>1</v>
      </c>
      <c r="AM406" s="663">
        <v>1</v>
      </c>
      <c r="AN406" s="663">
        <v>1</v>
      </c>
      <c r="AO406" s="663">
        <v>1</v>
      </c>
      <c r="AP406" s="663">
        <v>1</v>
      </c>
      <c r="AQ406" s="663">
        <v>1</v>
      </c>
      <c r="AR406" s="663">
        <v>1</v>
      </c>
      <c r="AS406" s="685">
        <f t="shared" si="139"/>
        <v>12</v>
      </c>
      <c r="AU406" s="686">
        <f t="shared" si="127"/>
        <v>13</v>
      </c>
      <c r="AV406" s="665">
        <f t="shared" si="132"/>
        <v>12</v>
      </c>
      <c r="AW406" s="687">
        <f t="shared" si="128"/>
        <v>-7.6923076923076872E-2</v>
      </c>
      <c r="AX406" s="663">
        <f t="shared" si="129"/>
        <v>12</v>
      </c>
      <c r="AY406" s="713">
        <f t="shared" si="130"/>
        <v>0</v>
      </c>
      <c r="BC406" s="688">
        <f t="shared" si="131"/>
        <v>3.5616438356164383E-2</v>
      </c>
    </row>
    <row r="407" spans="1:55" x14ac:dyDescent="0.25">
      <c r="B407" s="662" t="s">
        <v>1206</v>
      </c>
      <c r="C407" s="662" t="s">
        <v>961</v>
      </c>
      <c r="D407" s="663"/>
      <c r="E407" s="662">
        <v>4</v>
      </c>
      <c r="O407" s="662">
        <v>2</v>
      </c>
      <c r="P407" s="662">
        <v>3</v>
      </c>
      <c r="Q407" s="681">
        <f t="shared" si="126"/>
        <v>9</v>
      </c>
      <c r="V407" s="662">
        <v>4</v>
      </c>
      <c r="W407" s="683">
        <v>1</v>
      </c>
      <c r="X407" s="683">
        <v>1</v>
      </c>
      <c r="Y407" s="683">
        <v>0</v>
      </c>
      <c r="Z407" s="683">
        <v>1</v>
      </c>
      <c r="AA407" s="683">
        <v>1</v>
      </c>
      <c r="AB407" s="683">
        <v>0</v>
      </c>
      <c r="AC407" s="683">
        <v>1</v>
      </c>
      <c r="AD407" s="683">
        <v>0</v>
      </c>
      <c r="AE407" s="684">
        <f t="shared" si="135"/>
        <v>9</v>
      </c>
      <c r="AG407" s="663">
        <v>1</v>
      </c>
      <c r="AH407" s="663">
        <v>1</v>
      </c>
      <c r="AI407" s="663">
        <v>0</v>
      </c>
      <c r="AJ407" s="663">
        <v>1</v>
      </c>
      <c r="AK407" s="663">
        <v>1</v>
      </c>
      <c r="AL407" s="663">
        <v>0</v>
      </c>
      <c r="AM407" s="663">
        <v>1</v>
      </c>
      <c r="AN407" s="663">
        <v>1</v>
      </c>
      <c r="AO407" s="663">
        <v>0</v>
      </c>
      <c r="AP407" s="663">
        <v>1</v>
      </c>
      <c r="AQ407" s="663">
        <v>1</v>
      </c>
      <c r="AR407" s="663">
        <v>1</v>
      </c>
      <c r="AS407" s="685">
        <f t="shared" si="139"/>
        <v>9</v>
      </c>
      <c r="AU407" s="686">
        <f t="shared" si="127"/>
        <v>9</v>
      </c>
      <c r="AV407" s="665">
        <f t="shared" si="132"/>
        <v>9</v>
      </c>
      <c r="AW407" s="687">
        <f t="shared" si="128"/>
        <v>0</v>
      </c>
      <c r="AX407" s="663">
        <f t="shared" si="129"/>
        <v>9</v>
      </c>
      <c r="AY407" s="713">
        <f t="shared" si="130"/>
        <v>0</v>
      </c>
      <c r="BC407" s="688">
        <f t="shared" si="131"/>
        <v>2.4657534246575342E-2</v>
      </c>
    </row>
    <row r="408" spans="1:55" x14ac:dyDescent="0.25">
      <c r="B408" s="662" t="s">
        <v>1207</v>
      </c>
      <c r="C408" s="662" t="s">
        <v>961</v>
      </c>
      <c r="D408" s="663"/>
      <c r="E408" s="662">
        <v>3</v>
      </c>
      <c r="F408" s="662">
        <v>6</v>
      </c>
      <c r="G408" s="662">
        <v>1</v>
      </c>
      <c r="I408" s="662">
        <v>1</v>
      </c>
      <c r="P408" s="662">
        <v>1</v>
      </c>
      <c r="Q408" s="681">
        <f t="shared" si="126"/>
        <v>12</v>
      </c>
      <c r="T408" s="662">
        <v>2</v>
      </c>
      <c r="V408" s="662">
        <v>1</v>
      </c>
      <c r="W408" s="683">
        <v>0</v>
      </c>
      <c r="X408" s="683">
        <v>2</v>
      </c>
      <c r="Y408" s="683">
        <v>0</v>
      </c>
      <c r="Z408" s="683">
        <v>1</v>
      </c>
      <c r="AA408" s="683">
        <v>0</v>
      </c>
      <c r="AB408" s="683">
        <v>1</v>
      </c>
      <c r="AC408" s="683">
        <v>0</v>
      </c>
      <c r="AD408" s="683">
        <v>2</v>
      </c>
      <c r="AE408" s="684">
        <f t="shared" si="135"/>
        <v>9</v>
      </c>
      <c r="AG408" s="663">
        <v>1</v>
      </c>
      <c r="AH408" s="663">
        <v>1</v>
      </c>
      <c r="AI408" s="663">
        <v>0</v>
      </c>
      <c r="AJ408" s="663">
        <v>1</v>
      </c>
      <c r="AK408" s="663">
        <v>1</v>
      </c>
      <c r="AL408" s="663">
        <v>0</v>
      </c>
      <c r="AM408" s="663">
        <v>1</v>
      </c>
      <c r="AN408" s="663">
        <v>1</v>
      </c>
      <c r="AO408" s="663">
        <v>0</v>
      </c>
      <c r="AP408" s="663">
        <v>1</v>
      </c>
      <c r="AQ408" s="663">
        <v>1</v>
      </c>
      <c r="AR408" s="663">
        <v>1</v>
      </c>
      <c r="AS408" s="685">
        <f t="shared" si="139"/>
        <v>9</v>
      </c>
      <c r="AU408" s="686">
        <f t="shared" si="127"/>
        <v>12</v>
      </c>
      <c r="AV408" s="665">
        <f t="shared" si="132"/>
        <v>9</v>
      </c>
      <c r="AW408" s="687">
        <f t="shared" si="128"/>
        <v>-0.25</v>
      </c>
      <c r="AX408" s="663">
        <f t="shared" si="129"/>
        <v>9</v>
      </c>
      <c r="AY408" s="713">
        <f t="shared" si="130"/>
        <v>0</v>
      </c>
      <c r="BC408" s="688">
        <f t="shared" si="131"/>
        <v>1.3698630136986301E-2</v>
      </c>
    </row>
    <row r="409" spans="1:55" x14ac:dyDescent="0.25">
      <c r="B409" s="662" t="s">
        <v>1208</v>
      </c>
      <c r="C409" s="662" t="s">
        <v>961</v>
      </c>
      <c r="D409" s="663"/>
      <c r="F409" s="662">
        <v>1</v>
      </c>
      <c r="G409" s="662">
        <v>2</v>
      </c>
      <c r="H409" s="662">
        <v>5</v>
      </c>
      <c r="L409" s="662">
        <v>1</v>
      </c>
      <c r="Q409" s="681">
        <f t="shared" si="126"/>
        <v>9</v>
      </c>
      <c r="S409" s="662">
        <v>1</v>
      </c>
      <c r="V409" s="662">
        <v>6</v>
      </c>
      <c r="W409" s="683">
        <v>1</v>
      </c>
      <c r="X409" s="683">
        <v>0</v>
      </c>
      <c r="Y409" s="683">
        <v>0</v>
      </c>
      <c r="Z409" s="683">
        <v>2</v>
      </c>
      <c r="AA409" s="683">
        <v>1</v>
      </c>
      <c r="AB409" s="683">
        <v>0</v>
      </c>
      <c r="AC409" s="683">
        <v>0</v>
      </c>
      <c r="AD409" s="683">
        <v>2</v>
      </c>
      <c r="AE409" s="684">
        <f t="shared" si="135"/>
        <v>13</v>
      </c>
      <c r="AG409" s="663">
        <v>1</v>
      </c>
      <c r="AH409" s="663">
        <v>1</v>
      </c>
      <c r="AI409" s="663">
        <v>1</v>
      </c>
      <c r="AJ409" s="663">
        <v>1</v>
      </c>
      <c r="AK409" s="663">
        <v>1</v>
      </c>
      <c r="AL409" s="663">
        <v>1</v>
      </c>
      <c r="AM409" s="663">
        <v>1</v>
      </c>
      <c r="AN409" s="663">
        <v>2</v>
      </c>
      <c r="AO409" s="663">
        <v>1</v>
      </c>
      <c r="AP409" s="663">
        <v>1</v>
      </c>
      <c r="AQ409" s="663">
        <v>1</v>
      </c>
      <c r="AR409" s="663">
        <v>1</v>
      </c>
      <c r="AS409" s="685">
        <f t="shared" si="139"/>
        <v>13</v>
      </c>
      <c r="AU409" s="686">
        <f t="shared" si="127"/>
        <v>9</v>
      </c>
      <c r="AV409" s="665">
        <f t="shared" si="132"/>
        <v>13</v>
      </c>
      <c r="AW409" s="687">
        <f t="shared" si="128"/>
        <v>0.44444444444444442</v>
      </c>
      <c r="AX409" s="663">
        <f t="shared" si="129"/>
        <v>13</v>
      </c>
      <c r="AY409" s="713">
        <f t="shared" si="130"/>
        <v>0</v>
      </c>
      <c r="BC409" s="688">
        <f t="shared" si="131"/>
        <v>2.1917808219178082E-2</v>
      </c>
    </row>
    <row r="410" spans="1:55" x14ac:dyDescent="0.25">
      <c r="A410" s="693" t="s">
        <v>1209</v>
      </c>
      <c r="B410" s="693"/>
      <c r="C410" s="693"/>
      <c r="D410" s="694"/>
      <c r="E410" s="693">
        <v>8</v>
      </c>
      <c r="F410" s="693">
        <v>10</v>
      </c>
      <c r="G410" s="693">
        <v>5</v>
      </c>
      <c r="H410" s="693">
        <v>6</v>
      </c>
      <c r="I410" s="693">
        <v>1</v>
      </c>
      <c r="J410" s="693"/>
      <c r="K410" s="693"/>
      <c r="L410" s="693">
        <v>1</v>
      </c>
      <c r="M410" s="693"/>
      <c r="N410" s="693">
        <v>1</v>
      </c>
      <c r="O410" s="693">
        <v>8</v>
      </c>
      <c r="P410" s="693">
        <v>6</v>
      </c>
      <c r="Q410" s="695">
        <f t="shared" si="126"/>
        <v>46</v>
      </c>
      <c r="R410" s="695"/>
      <c r="S410" s="693">
        <v>1</v>
      </c>
      <c r="T410" s="693">
        <v>2</v>
      </c>
      <c r="U410" s="693">
        <v>3</v>
      </c>
      <c r="V410" s="693">
        <v>12</v>
      </c>
      <c r="W410" s="696">
        <f>SUM(W405:W409)</f>
        <v>3</v>
      </c>
      <c r="X410" s="696">
        <f t="shared" ref="X410:AD410" si="140">SUM(X405:X409)</f>
        <v>4</v>
      </c>
      <c r="Y410" s="696">
        <f t="shared" si="140"/>
        <v>1</v>
      </c>
      <c r="Z410" s="696">
        <f t="shared" si="140"/>
        <v>5</v>
      </c>
      <c r="AA410" s="696">
        <f t="shared" si="140"/>
        <v>3</v>
      </c>
      <c r="AB410" s="696">
        <f t="shared" si="140"/>
        <v>2</v>
      </c>
      <c r="AC410" s="696">
        <f t="shared" si="140"/>
        <v>2</v>
      </c>
      <c r="AD410" s="696">
        <f t="shared" si="140"/>
        <v>5</v>
      </c>
      <c r="AE410" s="697">
        <f t="shared" si="135"/>
        <v>43</v>
      </c>
      <c r="AF410" s="694"/>
      <c r="AG410" s="694">
        <f t="shared" ref="AG410:AR410" si="141">SUM(AG405:AG409)</f>
        <v>4</v>
      </c>
      <c r="AH410" s="694">
        <f t="shared" si="141"/>
        <v>4</v>
      </c>
      <c r="AI410" s="694">
        <f t="shared" si="141"/>
        <v>2</v>
      </c>
      <c r="AJ410" s="694">
        <f t="shared" si="141"/>
        <v>4</v>
      </c>
      <c r="AK410" s="694">
        <f t="shared" si="141"/>
        <v>4</v>
      </c>
      <c r="AL410" s="694">
        <f t="shared" si="141"/>
        <v>2</v>
      </c>
      <c r="AM410" s="694">
        <f t="shared" si="141"/>
        <v>4</v>
      </c>
      <c r="AN410" s="694">
        <f t="shared" si="141"/>
        <v>5</v>
      </c>
      <c r="AO410" s="694">
        <f t="shared" si="141"/>
        <v>2</v>
      </c>
      <c r="AP410" s="694">
        <f t="shared" si="141"/>
        <v>4</v>
      </c>
      <c r="AQ410" s="694">
        <f t="shared" si="141"/>
        <v>4</v>
      </c>
      <c r="AR410" s="694">
        <f t="shared" si="141"/>
        <v>4</v>
      </c>
      <c r="AS410" s="694">
        <f>SUM(AS405:AS409)</f>
        <v>43</v>
      </c>
      <c r="AT410" s="694"/>
      <c r="AU410" s="697">
        <f t="shared" si="127"/>
        <v>46</v>
      </c>
      <c r="AV410" s="697">
        <f t="shared" si="132"/>
        <v>43</v>
      </c>
      <c r="AW410" s="698">
        <f t="shared" si="128"/>
        <v>-6.5217391304347783E-2</v>
      </c>
      <c r="AX410" s="694">
        <f t="shared" si="129"/>
        <v>43</v>
      </c>
      <c r="AY410" s="698">
        <f t="shared" si="130"/>
        <v>0</v>
      </c>
      <c r="AZ410" s="698"/>
      <c r="BA410" s="698"/>
      <c r="BC410" s="688">
        <f t="shared" si="131"/>
        <v>9.5890410958904104E-2</v>
      </c>
    </row>
    <row r="411" spans="1:55" x14ac:dyDescent="0.25">
      <c r="A411" s="664" t="s">
        <v>1210</v>
      </c>
      <c r="B411" s="662" t="s">
        <v>1211</v>
      </c>
      <c r="C411" s="662" t="s">
        <v>939</v>
      </c>
      <c r="D411" s="663"/>
      <c r="E411" s="662">
        <v>3</v>
      </c>
      <c r="F411" s="662">
        <v>3</v>
      </c>
      <c r="G411" s="662">
        <v>2</v>
      </c>
      <c r="H411" s="662">
        <v>3</v>
      </c>
      <c r="I411" s="662">
        <v>5</v>
      </c>
      <c r="K411" s="662">
        <v>3</v>
      </c>
      <c r="L411" s="662">
        <v>1</v>
      </c>
      <c r="M411" s="662">
        <v>2</v>
      </c>
      <c r="N411" s="662">
        <v>3</v>
      </c>
      <c r="O411" s="662">
        <v>2</v>
      </c>
      <c r="Q411" s="681">
        <f t="shared" si="126"/>
        <v>27</v>
      </c>
      <c r="S411" s="662">
        <v>2</v>
      </c>
      <c r="T411" s="662">
        <v>2</v>
      </c>
      <c r="V411" s="662">
        <v>2</v>
      </c>
      <c r="W411" s="683">
        <v>5</v>
      </c>
      <c r="X411" s="683">
        <v>0</v>
      </c>
      <c r="Y411" s="683">
        <v>3</v>
      </c>
      <c r="Z411" s="683">
        <v>1</v>
      </c>
      <c r="AA411" s="683">
        <v>2</v>
      </c>
      <c r="AB411" s="683">
        <v>3</v>
      </c>
      <c r="AC411" s="683">
        <v>2</v>
      </c>
      <c r="AD411" s="683">
        <v>0</v>
      </c>
      <c r="AE411" s="684">
        <f t="shared" si="135"/>
        <v>22</v>
      </c>
      <c r="AG411" s="663">
        <v>2</v>
      </c>
      <c r="AH411" s="663">
        <v>2</v>
      </c>
      <c r="AI411" s="663">
        <v>2</v>
      </c>
      <c r="AJ411" s="663">
        <v>2</v>
      </c>
      <c r="AK411" s="663">
        <v>2</v>
      </c>
      <c r="AL411" s="663">
        <v>2</v>
      </c>
      <c r="AM411" s="663">
        <v>2</v>
      </c>
      <c r="AN411" s="663">
        <v>2</v>
      </c>
      <c r="AO411" s="663">
        <v>2</v>
      </c>
      <c r="AP411" s="663">
        <v>2</v>
      </c>
      <c r="AQ411" s="663">
        <v>2</v>
      </c>
      <c r="AR411" s="663">
        <v>2</v>
      </c>
      <c r="AS411" s="685">
        <f t="shared" ref="AS411:AS418" si="142">SUM(AG411:AR411)</f>
        <v>24</v>
      </c>
      <c r="AU411" s="686">
        <f t="shared" si="127"/>
        <v>27</v>
      </c>
      <c r="AV411" s="665">
        <f t="shared" si="132"/>
        <v>22</v>
      </c>
      <c r="AW411" s="687">
        <f t="shared" si="128"/>
        <v>-0.18518518518518523</v>
      </c>
      <c r="AX411" s="663">
        <f t="shared" si="129"/>
        <v>24</v>
      </c>
      <c r="AY411" s="713">
        <f t="shared" si="130"/>
        <v>9.0909090909090828E-2</v>
      </c>
      <c r="BC411" s="688">
        <f t="shared" si="131"/>
        <v>6.0273972602739728E-2</v>
      </c>
    </row>
    <row r="412" spans="1:55" x14ac:dyDescent="0.25">
      <c r="C412" s="662" t="s">
        <v>961</v>
      </c>
      <c r="D412" s="663"/>
      <c r="I412" s="662">
        <v>3</v>
      </c>
      <c r="J412" s="662">
        <v>3</v>
      </c>
      <c r="M412" s="662">
        <v>1</v>
      </c>
      <c r="P412" s="662">
        <v>2</v>
      </c>
      <c r="Q412" s="681">
        <f t="shared" si="126"/>
        <v>9</v>
      </c>
      <c r="W412" s="683">
        <v>0</v>
      </c>
      <c r="X412" s="683">
        <v>1</v>
      </c>
      <c r="Y412" s="683">
        <v>1</v>
      </c>
      <c r="Z412" s="683">
        <v>1</v>
      </c>
      <c r="AA412" s="683">
        <v>1</v>
      </c>
      <c r="AB412" s="683">
        <v>1</v>
      </c>
      <c r="AC412" s="683">
        <v>0</v>
      </c>
      <c r="AD412" s="683">
        <v>0</v>
      </c>
      <c r="AE412" s="684">
        <f t="shared" si="135"/>
        <v>5</v>
      </c>
      <c r="AG412" s="663">
        <v>0</v>
      </c>
      <c r="AH412" s="663">
        <v>0</v>
      </c>
      <c r="AI412" s="663">
        <v>0</v>
      </c>
      <c r="AJ412" s="663">
        <v>0</v>
      </c>
      <c r="AK412" s="663">
        <v>0</v>
      </c>
      <c r="AL412" s="663">
        <v>0</v>
      </c>
      <c r="AM412" s="663">
        <v>0</v>
      </c>
      <c r="AN412" s="663">
        <v>0</v>
      </c>
      <c r="AO412" s="663">
        <v>0</v>
      </c>
      <c r="AP412" s="663">
        <v>0</v>
      </c>
      <c r="AQ412" s="663">
        <v>0</v>
      </c>
      <c r="AR412" s="663">
        <v>0</v>
      </c>
      <c r="AS412" s="685">
        <f t="shared" si="142"/>
        <v>0</v>
      </c>
      <c r="AU412" s="686">
        <f t="shared" si="127"/>
        <v>9</v>
      </c>
      <c r="AV412" s="665">
        <f t="shared" si="132"/>
        <v>5</v>
      </c>
      <c r="AW412" s="687">
        <f t="shared" si="128"/>
        <v>-0.44444444444444442</v>
      </c>
      <c r="AX412" s="663">
        <f t="shared" si="129"/>
        <v>0</v>
      </c>
      <c r="AY412" s="713">
        <f t="shared" si="130"/>
        <v>-1</v>
      </c>
      <c r="BC412" s="688">
        <f t="shared" si="131"/>
        <v>2.4657534246575342E-2</v>
      </c>
    </row>
    <row r="413" spans="1:55" x14ac:dyDescent="0.25">
      <c r="B413" s="662" t="s">
        <v>1212</v>
      </c>
      <c r="C413" s="662" t="s">
        <v>939</v>
      </c>
      <c r="D413" s="663"/>
      <c r="E413" s="662">
        <v>8</v>
      </c>
      <c r="F413" s="662">
        <v>7</v>
      </c>
      <c r="G413" s="662">
        <v>7</v>
      </c>
      <c r="H413" s="662">
        <v>7</v>
      </c>
      <c r="K413" s="662">
        <v>8</v>
      </c>
      <c r="L413" s="662">
        <v>5</v>
      </c>
      <c r="M413" s="662">
        <v>4</v>
      </c>
      <c r="N413" s="662">
        <v>5</v>
      </c>
      <c r="O413" s="662">
        <v>6</v>
      </c>
      <c r="P413" s="662">
        <v>4</v>
      </c>
      <c r="Q413" s="681">
        <f t="shared" si="126"/>
        <v>61</v>
      </c>
      <c r="S413" s="662">
        <v>7</v>
      </c>
      <c r="T413" s="662">
        <v>6</v>
      </c>
      <c r="U413" s="662">
        <v>4</v>
      </c>
      <c r="V413" s="662">
        <v>6</v>
      </c>
      <c r="W413" s="683">
        <v>5</v>
      </c>
      <c r="X413" s="683">
        <v>5</v>
      </c>
      <c r="Y413" s="683">
        <v>5</v>
      </c>
      <c r="Z413" s="683">
        <v>5</v>
      </c>
      <c r="AA413" s="683">
        <v>5</v>
      </c>
      <c r="AB413" s="683">
        <v>4</v>
      </c>
      <c r="AC413" s="683">
        <v>5</v>
      </c>
      <c r="AD413" s="683">
        <v>4</v>
      </c>
      <c r="AE413" s="684">
        <f t="shared" si="135"/>
        <v>61</v>
      </c>
      <c r="AG413" s="663">
        <v>5</v>
      </c>
      <c r="AH413" s="663">
        <v>5</v>
      </c>
      <c r="AI413" s="663">
        <v>5</v>
      </c>
      <c r="AJ413" s="663">
        <v>5</v>
      </c>
      <c r="AK413" s="663">
        <v>5</v>
      </c>
      <c r="AL413" s="663">
        <v>5</v>
      </c>
      <c r="AM413" s="663">
        <v>5</v>
      </c>
      <c r="AN413" s="663">
        <v>5</v>
      </c>
      <c r="AO413" s="663">
        <v>5</v>
      </c>
      <c r="AP413" s="663">
        <v>5</v>
      </c>
      <c r="AQ413" s="663">
        <v>5</v>
      </c>
      <c r="AR413" s="663">
        <v>5</v>
      </c>
      <c r="AS413" s="685">
        <f t="shared" si="142"/>
        <v>60</v>
      </c>
      <c r="AU413" s="686">
        <f t="shared" si="127"/>
        <v>61</v>
      </c>
      <c r="AV413" s="665">
        <f t="shared" si="132"/>
        <v>61</v>
      </c>
      <c r="AW413" s="687">
        <f t="shared" si="128"/>
        <v>0</v>
      </c>
      <c r="AX413" s="663">
        <f t="shared" si="129"/>
        <v>60</v>
      </c>
      <c r="AY413" s="713">
        <f t="shared" si="130"/>
        <v>-1.6393442622950838E-2</v>
      </c>
      <c r="BC413" s="688">
        <f t="shared" si="131"/>
        <v>0.15068493150684931</v>
      </c>
    </row>
    <row r="414" spans="1:55" x14ac:dyDescent="0.25">
      <c r="C414" s="662" t="s">
        <v>961</v>
      </c>
      <c r="D414" s="663"/>
      <c r="E414" s="662">
        <v>1</v>
      </c>
      <c r="F414" s="662">
        <v>3</v>
      </c>
      <c r="G414" s="662">
        <v>3</v>
      </c>
      <c r="K414" s="662">
        <v>1</v>
      </c>
      <c r="L414" s="662">
        <v>1</v>
      </c>
      <c r="M414" s="662">
        <v>1</v>
      </c>
      <c r="N414" s="662">
        <v>1</v>
      </c>
      <c r="O414" s="662">
        <v>2</v>
      </c>
      <c r="P414" s="662">
        <v>4</v>
      </c>
      <c r="Q414" s="681">
        <f t="shared" si="126"/>
        <v>17</v>
      </c>
      <c r="S414" s="662">
        <v>4</v>
      </c>
      <c r="T414" s="662">
        <v>4</v>
      </c>
      <c r="U414" s="662">
        <v>4</v>
      </c>
      <c r="W414" s="683">
        <v>2</v>
      </c>
      <c r="X414" s="683">
        <v>2</v>
      </c>
      <c r="Y414" s="683">
        <v>2</v>
      </c>
      <c r="Z414" s="683">
        <v>2</v>
      </c>
      <c r="AA414" s="683">
        <v>2</v>
      </c>
      <c r="AB414" s="683">
        <v>2</v>
      </c>
      <c r="AC414" s="683">
        <v>2</v>
      </c>
      <c r="AD414" s="683">
        <v>1</v>
      </c>
      <c r="AE414" s="684">
        <f t="shared" si="135"/>
        <v>27</v>
      </c>
      <c r="AG414" s="663">
        <v>2</v>
      </c>
      <c r="AH414" s="663">
        <v>2</v>
      </c>
      <c r="AI414" s="663">
        <v>2</v>
      </c>
      <c r="AJ414" s="663">
        <v>2</v>
      </c>
      <c r="AK414" s="663">
        <v>2</v>
      </c>
      <c r="AL414" s="663">
        <v>2</v>
      </c>
      <c r="AM414" s="663">
        <v>2</v>
      </c>
      <c r="AN414" s="663">
        <v>2</v>
      </c>
      <c r="AO414" s="663">
        <v>2</v>
      </c>
      <c r="AP414" s="663">
        <v>2</v>
      </c>
      <c r="AQ414" s="663">
        <v>2</v>
      </c>
      <c r="AR414" s="663">
        <v>2</v>
      </c>
      <c r="AS414" s="685">
        <f t="shared" si="142"/>
        <v>24</v>
      </c>
      <c r="AU414" s="686">
        <f t="shared" si="127"/>
        <v>17</v>
      </c>
      <c r="AV414" s="665">
        <f t="shared" si="132"/>
        <v>27</v>
      </c>
      <c r="AW414" s="687">
        <f t="shared" si="128"/>
        <v>0.58823529411764697</v>
      </c>
      <c r="AX414" s="663">
        <f t="shared" si="129"/>
        <v>24</v>
      </c>
      <c r="AY414" s="713">
        <f t="shared" si="130"/>
        <v>-0.11111111111111116</v>
      </c>
      <c r="BC414" s="688">
        <f t="shared" si="131"/>
        <v>6.0273972602739728E-2</v>
      </c>
    </row>
    <row r="415" spans="1:55" x14ac:dyDescent="0.25">
      <c r="B415" s="662" t="s">
        <v>1213</v>
      </c>
      <c r="C415" s="662" t="s">
        <v>939</v>
      </c>
      <c r="D415" s="663"/>
      <c r="E415" s="662">
        <v>2</v>
      </c>
      <c r="G415" s="662">
        <v>1</v>
      </c>
      <c r="H415" s="662">
        <v>4</v>
      </c>
      <c r="I415" s="662">
        <v>2</v>
      </c>
      <c r="J415" s="662">
        <v>4</v>
      </c>
      <c r="K415" s="662">
        <v>4</v>
      </c>
      <c r="L415" s="662">
        <v>2</v>
      </c>
      <c r="N415" s="662">
        <v>3</v>
      </c>
      <c r="Q415" s="681">
        <f t="shared" si="126"/>
        <v>22</v>
      </c>
      <c r="S415" s="662">
        <v>1</v>
      </c>
      <c r="T415" s="662">
        <v>1</v>
      </c>
      <c r="W415" s="683">
        <v>1</v>
      </c>
      <c r="X415" s="683">
        <v>1</v>
      </c>
      <c r="Y415" s="683">
        <v>2</v>
      </c>
      <c r="Z415" s="683">
        <v>2</v>
      </c>
      <c r="AA415" s="683">
        <v>1</v>
      </c>
      <c r="AB415" s="683">
        <v>1</v>
      </c>
      <c r="AC415" s="683">
        <v>1</v>
      </c>
      <c r="AD415" s="683">
        <v>2</v>
      </c>
      <c r="AE415" s="684">
        <f>SUM(S415:AD415)</f>
        <v>13</v>
      </c>
      <c r="AG415" s="663">
        <v>1</v>
      </c>
      <c r="AH415" s="663">
        <v>1</v>
      </c>
      <c r="AI415" s="663">
        <v>1</v>
      </c>
      <c r="AJ415" s="663">
        <v>1</v>
      </c>
      <c r="AK415" s="663">
        <v>1</v>
      </c>
      <c r="AL415" s="663">
        <v>1</v>
      </c>
      <c r="AM415" s="663">
        <v>1</v>
      </c>
      <c r="AN415" s="663">
        <v>1</v>
      </c>
      <c r="AO415" s="663">
        <v>1</v>
      </c>
      <c r="AP415" s="663">
        <v>1</v>
      </c>
      <c r="AQ415" s="663">
        <v>1</v>
      </c>
      <c r="AR415" s="663">
        <v>1</v>
      </c>
      <c r="AS415" s="685">
        <f t="shared" si="142"/>
        <v>12</v>
      </c>
      <c r="AU415" s="686">
        <f t="shared" si="127"/>
        <v>22</v>
      </c>
      <c r="AV415" s="665">
        <f t="shared" si="132"/>
        <v>13</v>
      </c>
      <c r="AW415" s="687">
        <f t="shared" si="128"/>
        <v>-0.40909090909090906</v>
      </c>
      <c r="AX415" s="663">
        <f t="shared" si="129"/>
        <v>12</v>
      </c>
      <c r="AY415" s="713">
        <f t="shared" si="130"/>
        <v>-7.6923076923076872E-2</v>
      </c>
      <c r="BC415" s="688">
        <f t="shared" si="131"/>
        <v>4.6575342465753428E-2</v>
      </c>
    </row>
    <row r="416" spans="1:55" x14ac:dyDescent="0.25">
      <c r="C416" s="662" t="s">
        <v>961</v>
      </c>
      <c r="D416" s="663"/>
      <c r="I416" s="662">
        <v>1</v>
      </c>
      <c r="J416" s="662">
        <v>2</v>
      </c>
      <c r="Q416" s="681">
        <f t="shared" si="126"/>
        <v>3</v>
      </c>
      <c r="W416" s="683">
        <v>1</v>
      </c>
      <c r="X416" s="683">
        <v>1</v>
      </c>
      <c r="Y416" s="683">
        <v>0</v>
      </c>
      <c r="Z416" s="683">
        <v>0</v>
      </c>
      <c r="AA416" s="683">
        <v>0</v>
      </c>
      <c r="AB416" s="683">
        <v>0</v>
      </c>
      <c r="AC416" s="683">
        <v>0</v>
      </c>
      <c r="AD416" s="683">
        <v>0</v>
      </c>
      <c r="AE416" s="684">
        <f t="shared" si="135"/>
        <v>2</v>
      </c>
      <c r="AG416" s="663">
        <v>0</v>
      </c>
      <c r="AH416" s="663">
        <v>0</v>
      </c>
      <c r="AI416" s="663">
        <v>0</v>
      </c>
      <c r="AJ416" s="663">
        <v>0</v>
      </c>
      <c r="AK416" s="663">
        <v>0</v>
      </c>
      <c r="AL416" s="663">
        <v>0</v>
      </c>
      <c r="AM416" s="663">
        <v>0</v>
      </c>
      <c r="AN416" s="663">
        <v>0</v>
      </c>
      <c r="AO416" s="663">
        <v>0</v>
      </c>
      <c r="AP416" s="663">
        <v>0</v>
      </c>
      <c r="AQ416" s="663">
        <v>0</v>
      </c>
      <c r="AR416" s="663">
        <v>0</v>
      </c>
      <c r="AS416" s="685">
        <f t="shared" si="142"/>
        <v>0</v>
      </c>
      <c r="AU416" s="686">
        <f t="shared" si="127"/>
        <v>3</v>
      </c>
      <c r="AV416" s="665">
        <f t="shared" si="132"/>
        <v>2</v>
      </c>
      <c r="AW416" s="687">
        <f t="shared" si="128"/>
        <v>-0.33333333333333337</v>
      </c>
      <c r="AX416" s="663">
        <f t="shared" si="129"/>
        <v>0</v>
      </c>
      <c r="AY416" s="713">
        <f t="shared" si="130"/>
        <v>-1</v>
      </c>
      <c r="BC416" s="688">
        <f t="shared" si="131"/>
        <v>8.21917808219178E-3</v>
      </c>
    </row>
    <row r="417" spans="1:55" x14ac:dyDescent="0.25">
      <c r="B417" s="662" t="s">
        <v>1214</v>
      </c>
      <c r="C417" s="662" t="s">
        <v>939</v>
      </c>
      <c r="D417" s="663"/>
      <c r="E417" s="662">
        <v>5</v>
      </c>
      <c r="F417" s="662">
        <v>5</v>
      </c>
      <c r="G417" s="662">
        <v>5</v>
      </c>
      <c r="H417" s="662">
        <v>3</v>
      </c>
      <c r="I417" s="662">
        <v>13</v>
      </c>
      <c r="J417" s="662">
        <v>9</v>
      </c>
      <c r="K417" s="662">
        <v>6</v>
      </c>
      <c r="L417" s="662">
        <v>6</v>
      </c>
      <c r="M417" s="662">
        <v>6</v>
      </c>
      <c r="N417" s="662">
        <v>3</v>
      </c>
      <c r="P417" s="662">
        <v>2</v>
      </c>
      <c r="Q417" s="681">
        <f t="shared" si="126"/>
        <v>63</v>
      </c>
      <c r="T417" s="662">
        <v>3</v>
      </c>
      <c r="U417" s="662">
        <v>2</v>
      </c>
      <c r="V417" s="662">
        <v>1</v>
      </c>
      <c r="W417" s="683">
        <v>4</v>
      </c>
      <c r="X417" s="683">
        <v>4</v>
      </c>
      <c r="Y417" s="683">
        <v>4</v>
      </c>
      <c r="Z417" s="683">
        <v>4</v>
      </c>
      <c r="AA417" s="683">
        <v>4</v>
      </c>
      <c r="AB417" s="683">
        <v>4</v>
      </c>
      <c r="AC417" s="683">
        <v>4</v>
      </c>
      <c r="AD417" s="683">
        <v>4</v>
      </c>
      <c r="AE417" s="684">
        <f t="shared" si="135"/>
        <v>38</v>
      </c>
      <c r="AG417" s="663">
        <v>3</v>
      </c>
      <c r="AH417" s="663">
        <v>3</v>
      </c>
      <c r="AI417" s="663">
        <v>3</v>
      </c>
      <c r="AJ417" s="663">
        <v>3</v>
      </c>
      <c r="AK417" s="663">
        <v>3</v>
      </c>
      <c r="AL417" s="663">
        <v>3</v>
      </c>
      <c r="AM417" s="663">
        <v>3</v>
      </c>
      <c r="AN417" s="663">
        <v>3</v>
      </c>
      <c r="AO417" s="663">
        <v>3</v>
      </c>
      <c r="AP417" s="663">
        <v>3</v>
      </c>
      <c r="AQ417" s="663">
        <v>3</v>
      </c>
      <c r="AR417" s="663">
        <v>3</v>
      </c>
      <c r="AS417" s="685">
        <f t="shared" si="142"/>
        <v>36</v>
      </c>
      <c r="AU417" s="686">
        <f t="shared" si="127"/>
        <v>63</v>
      </c>
      <c r="AV417" s="665">
        <f t="shared" si="132"/>
        <v>38</v>
      </c>
      <c r="AW417" s="687">
        <f t="shared" si="128"/>
        <v>-0.39682539682539686</v>
      </c>
      <c r="AX417" s="663">
        <f t="shared" si="129"/>
        <v>36</v>
      </c>
      <c r="AY417" s="713">
        <f t="shared" si="130"/>
        <v>-5.2631578947368474E-2</v>
      </c>
      <c r="BC417" s="688">
        <f t="shared" si="131"/>
        <v>0.13972602739726028</v>
      </c>
    </row>
    <row r="418" spans="1:55" x14ac:dyDescent="0.25">
      <c r="C418" s="662" t="s">
        <v>961</v>
      </c>
      <c r="D418" s="663"/>
      <c r="F418" s="662">
        <v>4</v>
      </c>
      <c r="G418" s="662">
        <v>2</v>
      </c>
      <c r="H418" s="662">
        <v>2</v>
      </c>
      <c r="I418" s="662">
        <v>4</v>
      </c>
      <c r="J418" s="662">
        <v>2</v>
      </c>
      <c r="K418" s="662">
        <v>2</v>
      </c>
      <c r="L418" s="662">
        <v>1</v>
      </c>
      <c r="M418" s="662">
        <v>8</v>
      </c>
      <c r="N418" s="662">
        <v>4</v>
      </c>
      <c r="O418" s="662">
        <v>1</v>
      </c>
      <c r="P418" s="662">
        <v>3</v>
      </c>
      <c r="Q418" s="681">
        <f t="shared" si="126"/>
        <v>33</v>
      </c>
      <c r="T418" s="662">
        <v>2</v>
      </c>
      <c r="U418" s="662">
        <v>1</v>
      </c>
      <c r="V418" s="662">
        <v>3</v>
      </c>
      <c r="W418" s="683">
        <v>3</v>
      </c>
      <c r="X418" s="683">
        <v>2</v>
      </c>
      <c r="Y418" s="683">
        <v>2</v>
      </c>
      <c r="Z418" s="683">
        <v>2</v>
      </c>
      <c r="AA418" s="683">
        <v>2</v>
      </c>
      <c r="AB418" s="683">
        <v>2</v>
      </c>
      <c r="AC418" s="683">
        <v>3</v>
      </c>
      <c r="AD418" s="683">
        <v>3</v>
      </c>
      <c r="AE418" s="684">
        <f t="shared" si="135"/>
        <v>25</v>
      </c>
      <c r="AG418" s="663">
        <v>2</v>
      </c>
      <c r="AH418" s="663">
        <v>2</v>
      </c>
      <c r="AI418" s="663">
        <v>2</v>
      </c>
      <c r="AJ418" s="663">
        <v>2</v>
      </c>
      <c r="AK418" s="663">
        <v>2</v>
      </c>
      <c r="AL418" s="663">
        <v>2</v>
      </c>
      <c r="AM418" s="663">
        <v>2</v>
      </c>
      <c r="AN418" s="663">
        <v>2</v>
      </c>
      <c r="AO418" s="663">
        <v>2</v>
      </c>
      <c r="AP418" s="663">
        <v>2</v>
      </c>
      <c r="AQ418" s="663">
        <v>2</v>
      </c>
      <c r="AR418" s="663">
        <v>2</v>
      </c>
      <c r="AS418" s="685">
        <f t="shared" si="142"/>
        <v>24</v>
      </c>
      <c r="AU418" s="686">
        <f t="shared" si="127"/>
        <v>33</v>
      </c>
      <c r="AV418" s="665">
        <f t="shared" si="132"/>
        <v>25</v>
      </c>
      <c r="AW418" s="687">
        <f t="shared" si="128"/>
        <v>-0.24242424242424243</v>
      </c>
      <c r="AX418" s="663">
        <f t="shared" si="129"/>
        <v>24</v>
      </c>
      <c r="AY418" s="713">
        <f t="shared" si="130"/>
        <v>-4.0000000000000036E-2</v>
      </c>
      <c r="BC418" s="688">
        <f t="shared" si="131"/>
        <v>8.4931506849315067E-2</v>
      </c>
    </row>
    <row r="419" spans="1:55" x14ac:dyDescent="0.25">
      <c r="A419" s="693" t="s">
        <v>1215</v>
      </c>
      <c r="B419" s="693"/>
      <c r="C419" s="693"/>
      <c r="D419" s="694"/>
      <c r="E419" s="693">
        <v>19</v>
      </c>
      <c r="F419" s="693">
        <v>22</v>
      </c>
      <c r="G419" s="693">
        <v>20</v>
      </c>
      <c r="H419" s="693">
        <v>19</v>
      </c>
      <c r="I419" s="693">
        <v>28</v>
      </c>
      <c r="J419" s="693">
        <v>20</v>
      </c>
      <c r="K419" s="693">
        <v>24</v>
      </c>
      <c r="L419" s="693">
        <v>16</v>
      </c>
      <c r="M419" s="693">
        <v>22</v>
      </c>
      <c r="N419" s="693">
        <v>19</v>
      </c>
      <c r="O419" s="693">
        <v>11</v>
      </c>
      <c r="P419" s="693">
        <v>15</v>
      </c>
      <c r="Q419" s="695">
        <f t="shared" si="126"/>
        <v>235</v>
      </c>
      <c r="R419" s="695"/>
      <c r="S419" s="693">
        <v>14</v>
      </c>
      <c r="T419" s="693">
        <v>18</v>
      </c>
      <c r="U419" s="693">
        <v>11</v>
      </c>
      <c r="V419" s="693">
        <v>12</v>
      </c>
      <c r="W419" s="696">
        <f>SUM(W411:W418)</f>
        <v>21</v>
      </c>
      <c r="X419" s="696">
        <f t="shared" ref="X419:AD419" si="143">SUM(X411:X418)</f>
        <v>16</v>
      </c>
      <c r="Y419" s="696">
        <f t="shared" si="143"/>
        <v>19</v>
      </c>
      <c r="Z419" s="696">
        <f t="shared" si="143"/>
        <v>17</v>
      </c>
      <c r="AA419" s="696">
        <f t="shared" si="143"/>
        <v>17</v>
      </c>
      <c r="AB419" s="696">
        <f t="shared" si="143"/>
        <v>17</v>
      </c>
      <c r="AC419" s="696">
        <f t="shared" si="143"/>
        <v>17</v>
      </c>
      <c r="AD419" s="696">
        <f t="shared" si="143"/>
        <v>14</v>
      </c>
      <c r="AE419" s="697">
        <f t="shared" si="135"/>
        <v>193</v>
      </c>
      <c r="AF419" s="694"/>
      <c r="AG419" s="694">
        <f t="shared" ref="AG419:AR419" si="144">SUM(AG411:AG418)</f>
        <v>15</v>
      </c>
      <c r="AH419" s="694">
        <f t="shared" si="144"/>
        <v>15</v>
      </c>
      <c r="AI419" s="694">
        <f t="shared" si="144"/>
        <v>15</v>
      </c>
      <c r="AJ419" s="694">
        <f t="shared" si="144"/>
        <v>15</v>
      </c>
      <c r="AK419" s="694">
        <f t="shared" si="144"/>
        <v>15</v>
      </c>
      <c r="AL419" s="694">
        <f t="shared" si="144"/>
        <v>15</v>
      </c>
      <c r="AM419" s="694">
        <f t="shared" si="144"/>
        <v>15</v>
      </c>
      <c r="AN419" s="694">
        <f t="shared" si="144"/>
        <v>15</v>
      </c>
      <c r="AO419" s="694">
        <f t="shared" si="144"/>
        <v>15</v>
      </c>
      <c r="AP419" s="694">
        <f t="shared" si="144"/>
        <v>15</v>
      </c>
      <c r="AQ419" s="694">
        <f t="shared" si="144"/>
        <v>15</v>
      </c>
      <c r="AR419" s="694">
        <f t="shared" si="144"/>
        <v>15</v>
      </c>
      <c r="AS419" s="694">
        <f>SUM(AS411:AS418)</f>
        <v>180</v>
      </c>
      <c r="AT419" s="694"/>
      <c r="AU419" s="697">
        <f t="shared" si="127"/>
        <v>235</v>
      </c>
      <c r="AV419" s="697">
        <f t="shared" si="132"/>
        <v>193</v>
      </c>
      <c r="AW419" s="698">
        <f t="shared" si="128"/>
        <v>-0.17872340425531918</v>
      </c>
      <c r="AX419" s="694">
        <f t="shared" si="129"/>
        <v>180</v>
      </c>
      <c r="AY419" s="698">
        <f t="shared" si="130"/>
        <v>-6.7357512953367893E-2</v>
      </c>
      <c r="AZ419" s="698"/>
      <c r="BA419" s="698"/>
      <c r="BC419" s="688">
        <f t="shared" si="131"/>
        <v>0.57534246575342463</v>
      </c>
    </row>
    <row r="420" spans="1:55" x14ac:dyDescent="0.25">
      <c r="A420" s="664" t="s">
        <v>1216</v>
      </c>
      <c r="B420" s="662" t="s">
        <v>1217</v>
      </c>
      <c r="C420" s="662" t="s">
        <v>932</v>
      </c>
      <c r="D420" s="663"/>
      <c r="Q420" s="681">
        <f t="shared" si="126"/>
        <v>0</v>
      </c>
      <c r="U420" s="662">
        <v>1</v>
      </c>
      <c r="W420" s="683">
        <v>0</v>
      </c>
      <c r="X420" s="683">
        <v>0</v>
      </c>
      <c r="Y420" s="683">
        <v>0</v>
      </c>
      <c r="Z420" s="683">
        <v>0</v>
      </c>
      <c r="AA420" s="683">
        <v>0</v>
      </c>
      <c r="AB420" s="683">
        <v>0</v>
      </c>
      <c r="AC420" s="683">
        <v>0</v>
      </c>
      <c r="AD420" s="683">
        <v>0</v>
      </c>
      <c r="AE420" s="684">
        <f t="shared" si="135"/>
        <v>1</v>
      </c>
      <c r="AG420" s="663">
        <v>0</v>
      </c>
      <c r="AH420" s="663">
        <v>0</v>
      </c>
      <c r="AI420" s="663">
        <v>0</v>
      </c>
      <c r="AJ420" s="663">
        <v>0</v>
      </c>
      <c r="AK420" s="663">
        <v>0</v>
      </c>
      <c r="AL420" s="663">
        <v>0</v>
      </c>
      <c r="AM420" s="663">
        <v>0</v>
      </c>
      <c r="AN420" s="663">
        <v>0</v>
      </c>
      <c r="AO420" s="663">
        <v>0</v>
      </c>
      <c r="AP420" s="663">
        <v>0</v>
      </c>
      <c r="AQ420" s="663">
        <v>0</v>
      </c>
      <c r="AR420" s="663">
        <v>0</v>
      </c>
      <c r="AS420" s="685">
        <v>0</v>
      </c>
      <c r="AU420" s="686">
        <f t="shared" si="127"/>
        <v>0</v>
      </c>
      <c r="AV420" s="665">
        <f t="shared" si="132"/>
        <v>1</v>
      </c>
      <c r="AW420" s="687">
        <v>1</v>
      </c>
      <c r="AX420" s="663">
        <f t="shared" si="129"/>
        <v>0</v>
      </c>
      <c r="AY420" s="713">
        <f t="shared" si="130"/>
        <v>-1</v>
      </c>
      <c r="BC420" s="688">
        <f t="shared" si="131"/>
        <v>2.7397260273972603E-3</v>
      </c>
    </row>
    <row r="421" spans="1:55" x14ac:dyDescent="0.25">
      <c r="C421" s="662" t="s">
        <v>939</v>
      </c>
      <c r="D421" s="663"/>
      <c r="E421" s="662">
        <v>8</v>
      </c>
      <c r="F421" s="662">
        <v>15</v>
      </c>
      <c r="G421" s="662">
        <v>14</v>
      </c>
      <c r="H421" s="662">
        <v>14</v>
      </c>
      <c r="I421" s="662">
        <v>9</v>
      </c>
      <c r="J421" s="662">
        <v>7</v>
      </c>
      <c r="K421" s="662">
        <v>11</v>
      </c>
      <c r="L421" s="662">
        <v>8</v>
      </c>
      <c r="M421" s="662">
        <v>9</v>
      </c>
      <c r="N421" s="662">
        <v>11</v>
      </c>
      <c r="O421" s="662">
        <v>12</v>
      </c>
      <c r="P421" s="662">
        <v>11</v>
      </c>
      <c r="Q421" s="681">
        <f t="shared" si="126"/>
        <v>129</v>
      </c>
      <c r="S421" s="662">
        <v>3</v>
      </c>
      <c r="T421" s="662">
        <v>12</v>
      </c>
      <c r="U421" s="662">
        <v>11</v>
      </c>
      <c r="V421" s="662">
        <v>11</v>
      </c>
      <c r="W421" s="683">
        <v>9</v>
      </c>
      <c r="X421" s="683">
        <v>7</v>
      </c>
      <c r="Y421" s="683">
        <v>11</v>
      </c>
      <c r="Z421" s="683">
        <v>8</v>
      </c>
      <c r="AA421" s="683">
        <v>9</v>
      </c>
      <c r="AB421" s="683">
        <v>11</v>
      </c>
      <c r="AC421" s="683">
        <v>12</v>
      </c>
      <c r="AD421" s="683">
        <v>11</v>
      </c>
      <c r="AE421" s="684">
        <f t="shared" si="135"/>
        <v>115</v>
      </c>
      <c r="AG421" s="663">
        <v>9</v>
      </c>
      <c r="AH421" s="663">
        <v>9</v>
      </c>
      <c r="AI421" s="663">
        <v>10</v>
      </c>
      <c r="AJ421" s="663">
        <v>10</v>
      </c>
      <c r="AK421" s="663">
        <v>9</v>
      </c>
      <c r="AL421" s="663">
        <v>9</v>
      </c>
      <c r="AM421" s="663">
        <v>9</v>
      </c>
      <c r="AN421" s="663">
        <v>10</v>
      </c>
      <c r="AO421" s="663">
        <v>10</v>
      </c>
      <c r="AP421" s="663">
        <v>10</v>
      </c>
      <c r="AQ421" s="663">
        <v>10</v>
      </c>
      <c r="AR421" s="663">
        <v>10</v>
      </c>
      <c r="AS421" s="685">
        <f t="shared" ref="AS421:AS437" si="145">SUM(AG421:AR421)</f>
        <v>115</v>
      </c>
      <c r="AU421" s="686">
        <f t="shared" si="127"/>
        <v>129</v>
      </c>
      <c r="AV421" s="665">
        <f t="shared" si="132"/>
        <v>115</v>
      </c>
      <c r="AW421" s="687">
        <f t="shared" si="128"/>
        <v>-0.10852713178294571</v>
      </c>
      <c r="AX421" s="663">
        <f t="shared" si="129"/>
        <v>115</v>
      </c>
      <c r="AY421" s="713">
        <f t="shared" si="130"/>
        <v>0</v>
      </c>
      <c r="BC421" s="688">
        <f t="shared" si="131"/>
        <v>0.31506849315068491</v>
      </c>
    </row>
    <row r="422" spans="1:55" x14ac:dyDescent="0.25">
      <c r="B422" s="662" t="s">
        <v>1218</v>
      </c>
      <c r="C422" s="662" t="s">
        <v>939</v>
      </c>
      <c r="D422" s="663" t="s">
        <v>945</v>
      </c>
      <c r="Q422" s="681">
        <f t="shared" si="126"/>
        <v>0</v>
      </c>
      <c r="S422" s="662">
        <v>1</v>
      </c>
      <c r="W422" s="683">
        <v>0</v>
      </c>
      <c r="X422" s="683">
        <v>0</v>
      </c>
      <c r="Y422" s="683">
        <v>0</v>
      </c>
      <c r="Z422" s="683">
        <v>0</v>
      </c>
      <c r="AA422" s="683">
        <v>0</v>
      </c>
      <c r="AB422" s="683">
        <v>0</v>
      </c>
      <c r="AC422" s="683">
        <v>0</v>
      </c>
      <c r="AD422" s="683">
        <v>0</v>
      </c>
      <c r="AE422" s="684">
        <f t="shared" si="135"/>
        <v>1</v>
      </c>
      <c r="AG422" s="663">
        <v>0</v>
      </c>
      <c r="AH422" s="663">
        <v>0</v>
      </c>
      <c r="AI422" s="663">
        <v>0</v>
      </c>
      <c r="AJ422" s="663">
        <v>0</v>
      </c>
      <c r="AK422" s="663">
        <v>0</v>
      </c>
      <c r="AL422" s="663">
        <v>0</v>
      </c>
      <c r="AM422" s="663">
        <v>0</v>
      </c>
      <c r="AN422" s="663">
        <v>0</v>
      </c>
      <c r="AO422" s="663">
        <v>0</v>
      </c>
      <c r="AP422" s="663">
        <v>0</v>
      </c>
      <c r="AQ422" s="663">
        <v>0</v>
      </c>
      <c r="AR422" s="663">
        <v>0</v>
      </c>
      <c r="AS422" s="685">
        <f t="shared" si="145"/>
        <v>0</v>
      </c>
      <c r="AU422" s="686">
        <f t="shared" si="127"/>
        <v>0</v>
      </c>
      <c r="AV422" s="665">
        <f t="shared" si="132"/>
        <v>1</v>
      </c>
      <c r="AW422" s="687">
        <v>1</v>
      </c>
      <c r="AX422" s="663">
        <f t="shared" si="129"/>
        <v>0</v>
      </c>
      <c r="AY422" s="713">
        <f t="shared" si="130"/>
        <v>-1</v>
      </c>
      <c r="BC422" s="688">
        <f t="shared" si="131"/>
        <v>2.7397260273972603E-3</v>
      </c>
    </row>
    <row r="423" spans="1:55" x14ac:dyDescent="0.25">
      <c r="B423" s="662" t="s">
        <v>1219</v>
      </c>
      <c r="C423" s="662" t="s">
        <v>932</v>
      </c>
      <c r="D423" s="663"/>
      <c r="H423" s="662">
        <v>1</v>
      </c>
      <c r="Q423" s="681">
        <f t="shared" si="126"/>
        <v>1</v>
      </c>
      <c r="W423" s="683">
        <f t="shared" ref="W423:AD435" si="146">$BC423*W$1</f>
        <v>0</v>
      </c>
      <c r="X423" s="683">
        <f t="shared" si="146"/>
        <v>0</v>
      </c>
      <c r="Y423" s="683">
        <f t="shared" si="146"/>
        <v>0</v>
      </c>
      <c r="Z423" s="683">
        <f t="shared" si="146"/>
        <v>0</v>
      </c>
      <c r="AA423" s="683">
        <f t="shared" si="146"/>
        <v>0</v>
      </c>
      <c r="AB423" s="683">
        <f t="shared" si="146"/>
        <v>0</v>
      </c>
      <c r="AC423" s="683">
        <f t="shared" si="146"/>
        <v>0</v>
      </c>
      <c r="AD423" s="683">
        <f t="shared" si="146"/>
        <v>0</v>
      </c>
      <c r="AE423" s="684">
        <f t="shared" si="135"/>
        <v>0</v>
      </c>
      <c r="AG423" s="663">
        <v>0</v>
      </c>
      <c r="AH423" s="663">
        <v>0</v>
      </c>
      <c r="AI423" s="663">
        <v>0</v>
      </c>
      <c r="AJ423" s="663">
        <v>0</v>
      </c>
      <c r="AK423" s="663">
        <v>0</v>
      </c>
      <c r="AL423" s="663">
        <v>0</v>
      </c>
      <c r="AM423" s="663">
        <v>0</v>
      </c>
      <c r="AN423" s="663">
        <v>0</v>
      </c>
      <c r="AO423" s="663">
        <v>0</v>
      </c>
      <c r="AP423" s="663">
        <v>0</v>
      </c>
      <c r="AQ423" s="663">
        <v>0</v>
      </c>
      <c r="AR423" s="663">
        <v>0</v>
      </c>
      <c r="AS423" s="685">
        <f t="shared" si="145"/>
        <v>0</v>
      </c>
      <c r="AU423" s="686">
        <f t="shared" si="127"/>
        <v>1</v>
      </c>
      <c r="AV423" s="665">
        <f t="shared" si="132"/>
        <v>0</v>
      </c>
      <c r="AW423" s="687">
        <f t="shared" si="128"/>
        <v>-1</v>
      </c>
      <c r="AX423" s="663">
        <f t="shared" si="129"/>
        <v>0</v>
      </c>
      <c r="AY423" s="713">
        <v>0</v>
      </c>
      <c r="BC423" s="688">
        <f t="shared" si="131"/>
        <v>0</v>
      </c>
    </row>
    <row r="424" spans="1:55" x14ac:dyDescent="0.25">
      <c r="C424" s="662" t="s">
        <v>939</v>
      </c>
      <c r="D424" s="663"/>
      <c r="E424" s="662">
        <v>18</v>
      </c>
      <c r="F424" s="662">
        <v>15</v>
      </c>
      <c r="G424" s="662">
        <v>17</v>
      </c>
      <c r="H424" s="662">
        <v>18</v>
      </c>
      <c r="I424" s="662">
        <v>18</v>
      </c>
      <c r="J424" s="662">
        <v>19</v>
      </c>
      <c r="K424" s="662">
        <v>20</v>
      </c>
      <c r="L424" s="662">
        <v>21</v>
      </c>
      <c r="M424" s="662">
        <v>26</v>
      </c>
      <c r="N424" s="662">
        <v>22</v>
      </c>
      <c r="O424" s="662">
        <v>24</v>
      </c>
      <c r="P424" s="662">
        <v>17</v>
      </c>
      <c r="Q424" s="681">
        <f t="shared" si="126"/>
        <v>235</v>
      </c>
      <c r="S424" s="662">
        <v>12</v>
      </c>
      <c r="T424" s="662">
        <v>27</v>
      </c>
      <c r="U424" s="662">
        <v>13</v>
      </c>
      <c r="V424" s="662">
        <v>22</v>
      </c>
      <c r="W424" s="683">
        <v>18</v>
      </c>
      <c r="X424" s="683">
        <v>19</v>
      </c>
      <c r="Y424" s="683">
        <v>20</v>
      </c>
      <c r="Z424" s="683">
        <v>21</v>
      </c>
      <c r="AA424" s="683">
        <v>26</v>
      </c>
      <c r="AB424" s="683">
        <v>22</v>
      </c>
      <c r="AC424" s="683">
        <v>24</v>
      </c>
      <c r="AD424" s="683">
        <v>17</v>
      </c>
      <c r="AE424" s="684">
        <f t="shared" si="135"/>
        <v>241</v>
      </c>
      <c r="AG424" s="663">
        <v>20</v>
      </c>
      <c r="AH424" s="663">
        <v>21</v>
      </c>
      <c r="AI424" s="663">
        <v>20</v>
      </c>
      <c r="AJ424" s="663">
        <v>21</v>
      </c>
      <c r="AK424" s="663">
        <v>20</v>
      </c>
      <c r="AL424" s="663">
        <v>21</v>
      </c>
      <c r="AM424" s="663">
        <v>20</v>
      </c>
      <c r="AN424" s="663">
        <v>21</v>
      </c>
      <c r="AO424" s="663">
        <v>20</v>
      </c>
      <c r="AP424" s="663">
        <v>21</v>
      </c>
      <c r="AQ424" s="663">
        <v>20</v>
      </c>
      <c r="AR424" s="663">
        <v>21</v>
      </c>
      <c r="AS424" s="685">
        <f t="shared" si="145"/>
        <v>246</v>
      </c>
      <c r="AU424" s="686">
        <f t="shared" si="127"/>
        <v>235</v>
      </c>
      <c r="AV424" s="665">
        <f t="shared" si="132"/>
        <v>241</v>
      </c>
      <c r="AW424" s="687">
        <f t="shared" si="128"/>
        <v>2.5531914893617058E-2</v>
      </c>
      <c r="AX424" s="663">
        <f t="shared" si="129"/>
        <v>246</v>
      </c>
      <c r="AY424" s="713">
        <f t="shared" si="130"/>
        <v>2.0746887966804906E-2</v>
      </c>
      <c r="BC424" s="688">
        <f t="shared" si="131"/>
        <v>0.66027397260273968</v>
      </c>
    </row>
    <row r="425" spans="1:55" x14ac:dyDescent="0.25">
      <c r="B425" s="662" t="s">
        <v>1220</v>
      </c>
      <c r="C425" s="662" t="s">
        <v>932</v>
      </c>
      <c r="D425" s="663"/>
      <c r="I425" s="662">
        <v>1</v>
      </c>
      <c r="L425" s="662">
        <v>1</v>
      </c>
      <c r="Q425" s="681">
        <f t="shared" si="126"/>
        <v>2</v>
      </c>
      <c r="W425" s="683">
        <v>0</v>
      </c>
      <c r="X425" s="683">
        <v>0</v>
      </c>
      <c r="Y425" s="683">
        <v>0</v>
      </c>
      <c r="Z425" s="683">
        <v>0</v>
      </c>
      <c r="AA425" s="683">
        <v>0</v>
      </c>
      <c r="AB425" s="683">
        <v>0</v>
      </c>
      <c r="AC425" s="683">
        <v>0</v>
      </c>
      <c r="AD425" s="683">
        <v>0</v>
      </c>
      <c r="AE425" s="684">
        <f t="shared" si="135"/>
        <v>0</v>
      </c>
      <c r="AG425" s="663">
        <v>0</v>
      </c>
      <c r="AH425" s="663">
        <v>0</v>
      </c>
      <c r="AI425" s="663">
        <v>0</v>
      </c>
      <c r="AJ425" s="663">
        <v>0</v>
      </c>
      <c r="AK425" s="663">
        <v>0</v>
      </c>
      <c r="AL425" s="663">
        <v>0</v>
      </c>
      <c r="AM425" s="663">
        <v>0</v>
      </c>
      <c r="AN425" s="663">
        <v>0</v>
      </c>
      <c r="AO425" s="663">
        <v>0</v>
      </c>
      <c r="AP425" s="663">
        <v>0</v>
      </c>
      <c r="AQ425" s="663">
        <v>0</v>
      </c>
      <c r="AR425" s="663">
        <v>0</v>
      </c>
      <c r="AS425" s="685">
        <f t="shared" si="145"/>
        <v>0</v>
      </c>
      <c r="AU425" s="686">
        <f t="shared" si="127"/>
        <v>2</v>
      </c>
      <c r="AV425" s="665">
        <f t="shared" si="132"/>
        <v>0</v>
      </c>
      <c r="AW425" s="687">
        <f t="shared" si="128"/>
        <v>-1</v>
      </c>
      <c r="AX425" s="663">
        <f t="shared" si="129"/>
        <v>0</v>
      </c>
      <c r="AY425" s="713">
        <v>0</v>
      </c>
      <c r="BC425" s="688">
        <f t="shared" si="131"/>
        <v>5.4794520547945206E-3</v>
      </c>
    </row>
    <row r="426" spans="1:55" x14ac:dyDescent="0.25">
      <c r="C426" s="662" t="s">
        <v>939</v>
      </c>
      <c r="D426" s="663"/>
      <c r="H426" s="662">
        <v>11</v>
      </c>
      <c r="I426" s="662">
        <v>9</v>
      </c>
      <c r="J426" s="662">
        <v>18</v>
      </c>
      <c r="K426" s="662">
        <v>10</v>
      </c>
      <c r="L426" s="662">
        <v>11</v>
      </c>
      <c r="M426" s="662">
        <v>19</v>
      </c>
      <c r="N426" s="662">
        <v>12</v>
      </c>
      <c r="O426" s="662">
        <v>17</v>
      </c>
      <c r="P426" s="662">
        <v>13</v>
      </c>
      <c r="Q426" s="681">
        <f t="shared" si="126"/>
        <v>120</v>
      </c>
      <c r="S426" s="662">
        <v>13</v>
      </c>
      <c r="T426" s="662">
        <v>19</v>
      </c>
      <c r="U426" s="662">
        <v>3</v>
      </c>
      <c r="V426" s="662">
        <v>20</v>
      </c>
      <c r="W426" s="683">
        <v>18</v>
      </c>
      <c r="X426" s="683">
        <v>18</v>
      </c>
      <c r="Y426" s="683">
        <v>20</v>
      </c>
      <c r="Z426" s="683">
        <v>11</v>
      </c>
      <c r="AA426" s="683">
        <v>19</v>
      </c>
      <c r="AB426" s="683">
        <v>12</v>
      </c>
      <c r="AC426" s="683">
        <v>17</v>
      </c>
      <c r="AD426" s="683">
        <v>13</v>
      </c>
      <c r="AE426" s="684">
        <f t="shared" si="135"/>
        <v>183</v>
      </c>
      <c r="AG426" s="663">
        <v>16</v>
      </c>
      <c r="AH426" s="663">
        <v>16</v>
      </c>
      <c r="AI426" s="663">
        <v>16</v>
      </c>
      <c r="AJ426" s="663">
        <v>16</v>
      </c>
      <c r="AK426" s="663">
        <v>16</v>
      </c>
      <c r="AL426" s="663">
        <v>16</v>
      </c>
      <c r="AM426" s="663">
        <v>16</v>
      </c>
      <c r="AN426" s="663">
        <v>16</v>
      </c>
      <c r="AO426" s="663">
        <v>16</v>
      </c>
      <c r="AP426" s="663">
        <v>16</v>
      </c>
      <c r="AQ426" s="663">
        <v>16</v>
      </c>
      <c r="AR426" s="663">
        <v>16</v>
      </c>
      <c r="AS426" s="685">
        <f t="shared" si="145"/>
        <v>192</v>
      </c>
      <c r="AU426" s="686">
        <f t="shared" si="127"/>
        <v>120</v>
      </c>
      <c r="AV426" s="665">
        <f t="shared" si="132"/>
        <v>183</v>
      </c>
      <c r="AW426" s="687">
        <f t="shared" si="128"/>
        <v>0.52499999999999991</v>
      </c>
      <c r="AX426" s="663">
        <f t="shared" si="129"/>
        <v>192</v>
      </c>
      <c r="AY426" s="713">
        <f t="shared" si="130"/>
        <v>4.9180327868852514E-2</v>
      </c>
      <c r="BC426" s="688">
        <f t="shared" si="131"/>
        <v>0.44931506849315067</v>
      </c>
    </row>
    <row r="427" spans="1:55" x14ac:dyDescent="0.25">
      <c r="C427" s="662" t="s">
        <v>961</v>
      </c>
      <c r="D427" s="663"/>
      <c r="H427" s="662">
        <v>1</v>
      </c>
      <c r="I427" s="662">
        <v>6</v>
      </c>
      <c r="J427" s="662">
        <v>2</v>
      </c>
      <c r="K427" s="662">
        <v>1</v>
      </c>
      <c r="L427" s="662">
        <v>5</v>
      </c>
      <c r="M427" s="662">
        <v>2</v>
      </c>
      <c r="N427" s="662">
        <v>5</v>
      </c>
      <c r="O427" s="662">
        <v>5</v>
      </c>
      <c r="P427" s="662">
        <v>6</v>
      </c>
      <c r="Q427" s="681">
        <f t="shared" si="126"/>
        <v>33</v>
      </c>
      <c r="S427" s="662">
        <v>8</v>
      </c>
      <c r="T427" s="662">
        <v>7</v>
      </c>
      <c r="U427" s="662">
        <v>2</v>
      </c>
      <c r="V427" s="662">
        <v>5</v>
      </c>
      <c r="W427" s="683">
        <v>4</v>
      </c>
      <c r="X427" s="683">
        <v>4</v>
      </c>
      <c r="Y427" s="683">
        <v>4</v>
      </c>
      <c r="Z427" s="683">
        <v>5</v>
      </c>
      <c r="AA427" s="683">
        <v>2</v>
      </c>
      <c r="AB427" s="683">
        <v>5</v>
      </c>
      <c r="AC427" s="683">
        <v>5</v>
      </c>
      <c r="AD427" s="683">
        <v>6</v>
      </c>
      <c r="AE427" s="684">
        <f t="shared" si="135"/>
        <v>57</v>
      </c>
      <c r="AG427" s="663">
        <v>5</v>
      </c>
      <c r="AH427" s="663">
        <v>5</v>
      </c>
      <c r="AI427" s="663">
        <v>5</v>
      </c>
      <c r="AJ427" s="663">
        <v>5</v>
      </c>
      <c r="AK427" s="663">
        <v>5</v>
      </c>
      <c r="AL427" s="663">
        <v>5</v>
      </c>
      <c r="AM427" s="663">
        <v>5</v>
      </c>
      <c r="AN427" s="663">
        <v>5</v>
      </c>
      <c r="AO427" s="663">
        <v>5</v>
      </c>
      <c r="AP427" s="663">
        <v>5</v>
      </c>
      <c r="AQ427" s="663">
        <v>5</v>
      </c>
      <c r="AR427" s="663">
        <v>5</v>
      </c>
      <c r="AS427" s="685">
        <f t="shared" si="145"/>
        <v>60</v>
      </c>
      <c r="AU427" s="686">
        <f t="shared" si="127"/>
        <v>33</v>
      </c>
      <c r="AV427" s="665">
        <f t="shared" si="132"/>
        <v>57</v>
      </c>
      <c r="AW427" s="687">
        <f t="shared" si="128"/>
        <v>0.72727272727272729</v>
      </c>
      <c r="AX427" s="663">
        <f t="shared" si="129"/>
        <v>60</v>
      </c>
      <c r="AY427" s="713">
        <f t="shared" si="130"/>
        <v>5.2631578947368363E-2</v>
      </c>
      <c r="BC427" s="688">
        <f t="shared" si="131"/>
        <v>0.14794520547945206</v>
      </c>
    </row>
    <row r="428" spans="1:55" x14ac:dyDescent="0.25">
      <c r="B428" s="662" t="s">
        <v>1221</v>
      </c>
      <c r="C428" s="662" t="s">
        <v>932</v>
      </c>
      <c r="D428" s="663"/>
      <c r="G428" s="662">
        <v>11</v>
      </c>
      <c r="H428" s="662">
        <v>7</v>
      </c>
      <c r="I428" s="662">
        <v>16</v>
      </c>
      <c r="J428" s="662">
        <v>18</v>
      </c>
      <c r="K428" s="662">
        <v>15</v>
      </c>
      <c r="L428" s="662">
        <v>12</v>
      </c>
      <c r="M428" s="662">
        <v>32</v>
      </c>
      <c r="N428" s="662">
        <v>28</v>
      </c>
      <c r="O428" s="662">
        <v>22</v>
      </c>
      <c r="P428" s="662">
        <v>24</v>
      </c>
      <c r="Q428" s="681">
        <f t="shared" si="126"/>
        <v>185</v>
      </c>
      <c r="S428" s="662">
        <v>25</v>
      </c>
      <c r="T428" s="662">
        <v>31</v>
      </c>
      <c r="W428" s="683">
        <v>16</v>
      </c>
      <c r="X428" s="683">
        <v>15</v>
      </c>
      <c r="Y428" s="683">
        <v>20</v>
      </c>
      <c r="Z428" s="683">
        <v>12</v>
      </c>
      <c r="AA428" s="683">
        <v>32</v>
      </c>
      <c r="AB428" s="683">
        <v>28</v>
      </c>
      <c r="AC428" s="683">
        <v>22</v>
      </c>
      <c r="AD428" s="683">
        <v>24</v>
      </c>
      <c r="AE428" s="684">
        <f t="shared" si="135"/>
        <v>225</v>
      </c>
      <c r="AG428" s="663">
        <v>19</v>
      </c>
      <c r="AH428" s="663">
        <v>19</v>
      </c>
      <c r="AI428" s="663">
        <v>20</v>
      </c>
      <c r="AJ428" s="663">
        <v>19</v>
      </c>
      <c r="AK428" s="663">
        <v>19</v>
      </c>
      <c r="AL428" s="663">
        <v>20</v>
      </c>
      <c r="AM428" s="663">
        <v>20</v>
      </c>
      <c r="AN428" s="663">
        <v>20</v>
      </c>
      <c r="AO428" s="663">
        <v>20</v>
      </c>
      <c r="AP428" s="663">
        <v>20</v>
      </c>
      <c r="AQ428" s="663">
        <v>20</v>
      </c>
      <c r="AR428" s="663">
        <v>19</v>
      </c>
      <c r="AS428" s="685">
        <f t="shared" si="145"/>
        <v>235</v>
      </c>
      <c r="AU428" s="686">
        <f t="shared" si="127"/>
        <v>185</v>
      </c>
      <c r="AV428" s="665">
        <f t="shared" si="132"/>
        <v>225</v>
      </c>
      <c r="AW428" s="687">
        <f t="shared" si="128"/>
        <v>0.21621621621621623</v>
      </c>
      <c r="AX428" s="663">
        <f t="shared" si="129"/>
        <v>235</v>
      </c>
      <c r="AY428" s="713">
        <f t="shared" si="130"/>
        <v>4.4444444444444509E-2</v>
      </c>
      <c r="BC428" s="688">
        <f t="shared" si="131"/>
        <v>0.61095890410958908</v>
      </c>
    </row>
    <row r="429" spans="1:55" x14ac:dyDescent="0.25">
      <c r="C429" s="662" t="s">
        <v>939</v>
      </c>
      <c r="D429" s="663"/>
      <c r="G429" s="662">
        <v>2</v>
      </c>
      <c r="J429" s="662">
        <v>3</v>
      </c>
      <c r="L429" s="662">
        <v>3</v>
      </c>
      <c r="O429" s="662">
        <v>3</v>
      </c>
      <c r="P429" s="662">
        <v>5</v>
      </c>
      <c r="Q429" s="681">
        <f t="shared" si="126"/>
        <v>16</v>
      </c>
      <c r="S429" s="662">
        <v>2</v>
      </c>
      <c r="T429" s="662">
        <v>2</v>
      </c>
      <c r="W429" s="683">
        <v>0</v>
      </c>
      <c r="X429" s="683">
        <v>3</v>
      </c>
      <c r="Y429" s="683">
        <v>0</v>
      </c>
      <c r="Z429" s="683">
        <v>0</v>
      </c>
      <c r="AA429" s="683">
        <v>3</v>
      </c>
      <c r="AB429" s="683">
        <v>5</v>
      </c>
      <c r="AC429" s="683">
        <v>0</v>
      </c>
      <c r="AD429" s="683">
        <v>1</v>
      </c>
      <c r="AE429" s="684">
        <f t="shared" si="135"/>
        <v>16</v>
      </c>
      <c r="AG429" s="663">
        <v>1</v>
      </c>
      <c r="AH429" s="663">
        <v>1</v>
      </c>
      <c r="AI429" s="663">
        <v>1</v>
      </c>
      <c r="AJ429" s="663">
        <v>1</v>
      </c>
      <c r="AK429" s="663">
        <v>1</v>
      </c>
      <c r="AL429" s="663">
        <v>1</v>
      </c>
      <c r="AM429" s="663">
        <v>1</v>
      </c>
      <c r="AN429" s="663">
        <v>1</v>
      </c>
      <c r="AO429" s="663">
        <v>1</v>
      </c>
      <c r="AP429" s="663">
        <v>1</v>
      </c>
      <c r="AQ429" s="663">
        <v>1</v>
      </c>
      <c r="AR429" s="663">
        <v>1</v>
      </c>
      <c r="AS429" s="685">
        <f t="shared" si="145"/>
        <v>12</v>
      </c>
      <c r="AU429" s="686">
        <f t="shared" si="127"/>
        <v>16</v>
      </c>
      <c r="AV429" s="665">
        <f t="shared" si="132"/>
        <v>16</v>
      </c>
      <c r="AW429" s="687">
        <f t="shared" si="128"/>
        <v>0</v>
      </c>
      <c r="AX429" s="663">
        <f t="shared" si="129"/>
        <v>12</v>
      </c>
      <c r="AY429" s="713">
        <f t="shared" si="130"/>
        <v>-0.25</v>
      </c>
      <c r="BC429" s="688">
        <f t="shared" si="131"/>
        <v>4.9315068493150684E-2</v>
      </c>
    </row>
    <row r="430" spans="1:55" x14ac:dyDescent="0.25">
      <c r="B430" s="662" t="s">
        <v>1222</v>
      </c>
      <c r="C430" s="662" t="s">
        <v>932</v>
      </c>
      <c r="D430" s="663"/>
      <c r="F430" s="662">
        <v>1</v>
      </c>
      <c r="G430" s="662">
        <v>1</v>
      </c>
      <c r="Q430" s="681">
        <f t="shared" si="126"/>
        <v>2</v>
      </c>
      <c r="W430" s="683">
        <v>0</v>
      </c>
      <c r="X430" s="683">
        <v>0</v>
      </c>
      <c r="Y430" s="683">
        <v>0</v>
      </c>
      <c r="Z430" s="683">
        <v>0</v>
      </c>
      <c r="AA430" s="683">
        <v>0</v>
      </c>
      <c r="AB430" s="683">
        <v>0</v>
      </c>
      <c r="AC430" s="683">
        <v>0</v>
      </c>
      <c r="AD430" s="683">
        <v>0</v>
      </c>
      <c r="AE430" s="684">
        <f t="shared" si="135"/>
        <v>0</v>
      </c>
      <c r="AG430" s="663">
        <v>0</v>
      </c>
      <c r="AH430" s="663">
        <v>0</v>
      </c>
      <c r="AI430" s="663">
        <v>0</v>
      </c>
      <c r="AJ430" s="663">
        <v>0</v>
      </c>
      <c r="AK430" s="663">
        <v>0</v>
      </c>
      <c r="AL430" s="663">
        <v>0</v>
      </c>
      <c r="AM430" s="663">
        <v>0</v>
      </c>
      <c r="AN430" s="663">
        <v>0</v>
      </c>
      <c r="AO430" s="663">
        <v>0</v>
      </c>
      <c r="AP430" s="663">
        <v>0</v>
      </c>
      <c r="AQ430" s="663">
        <v>0</v>
      </c>
      <c r="AR430" s="663">
        <v>0</v>
      </c>
      <c r="AS430" s="685">
        <f t="shared" si="145"/>
        <v>0</v>
      </c>
      <c r="AU430" s="686">
        <f t="shared" si="127"/>
        <v>2</v>
      </c>
      <c r="AV430" s="665">
        <f t="shared" si="132"/>
        <v>0</v>
      </c>
      <c r="AW430" s="687">
        <f t="shared" si="128"/>
        <v>-1</v>
      </c>
      <c r="AX430" s="663">
        <f t="shared" si="129"/>
        <v>0</v>
      </c>
      <c r="AY430" s="713">
        <v>0</v>
      </c>
      <c r="BC430" s="688">
        <f t="shared" si="131"/>
        <v>0</v>
      </c>
    </row>
    <row r="431" spans="1:55" x14ac:dyDescent="0.25">
      <c r="C431" s="662" t="s">
        <v>939</v>
      </c>
      <c r="D431" s="663"/>
      <c r="E431" s="662">
        <v>13</v>
      </c>
      <c r="F431" s="662">
        <v>23</v>
      </c>
      <c r="G431" s="662">
        <v>10</v>
      </c>
      <c r="H431" s="662">
        <v>12</v>
      </c>
      <c r="I431" s="662">
        <v>14</v>
      </c>
      <c r="J431" s="662">
        <v>15</v>
      </c>
      <c r="K431" s="662">
        <v>10</v>
      </c>
      <c r="L431" s="662">
        <v>9</v>
      </c>
      <c r="M431" s="662">
        <v>20</v>
      </c>
      <c r="N431" s="662">
        <v>16</v>
      </c>
      <c r="O431" s="662">
        <v>12</v>
      </c>
      <c r="P431" s="662">
        <v>18</v>
      </c>
      <c r="Q431" s="681">
        <f t="shared" si="126"/>
        <v>172</v>
      </c>
      <c r="S431" s="662">
        <v>20</v>
      </c>
      <c r="T431" s="662">
        <v>18</v>
      </c>
      <c r="U431" s="662">
        <v>19</v>
      </c>
      <c r="V431" s="662">
        <v>19</v>
      </c>
      <c r="W431" s="683">
        <v>14</v>
      </c>
      <c r="X431" s="683">
        <v>15</v>
      </c>
      <c r="Y431" s="683">
        <v>10</v>
      </c>
      <c r="Z431" s="683">
        <v>9</v>
      </c>
      <c r="AA431" s="683">
        <v>20</v>
      </c>
      <c r="AB431" s="683">
        <v>16</v>
      </c>
      <c r="AC431" s="683">
        <v>12</v>
      </c>
      <c r="AD431" s="683">
        <v>18</v>
      </c>
      <c r="AE431" s="684">
        <f t="shared" si="135"/>
        <v>190</v>
      </c>
      <c r="AG431" s="663">
        <v>17</v>
      </c>
      <c r="AH431" s="663">
        <v>17</v>
      </c>
      <c r="AI431" s="663">
        <v>17</v>
      </c>
      <c r="AJ431" s="663">
        <v>17</v>
      </c>
      <c r="AK431" s="663">
        <v>16</v>
      </c>
      <c r="AL431" s="663">
        <v>17</v>
      </c>
      <c r="AM431" s="663">
        <v>16</v>
      </c>
      <c r="AN431" s="663">
        <v>17</v>
      </c>
      <c r="AO431" s="663">
        <v>16</v>
      </c>
      <c r="AP431" s="663">
        <v>16</v>
      </c>
      <c r="AQ431" s="663">
        <v>16</v>
      </c>
      <c r="AR431" s="663">
        <v>17</v>
      </c>
      <c r="AS431" s="685">
        <f t="shared" si="145"/>
        <v>199</v>
      </c>
      <c r="AU431" s="686">
        <f t="shared" si="127"/>
        <v>172</v>
      </c>
      <c r="AV431" s="665">
        <f t="shared" si="132"/>
        <v>190</v>
      </c>
      <c r="AW431" s="687">
        <f t="shared" si="128"/>
        <v>0.10465116279069764</v>
      </c>
      <c r="AX431" s="663">
        <f t="shared" si="129"/>
        <v>199</v>
      </c>
      <c r="AY431" s="713">
        <f t="shared" si="130"/>
        <v>4.7368421052631504E-2</v>
      </c>
      <c r="BC431" s="688">
        <f t="shared" si="131"/>
        <v>0.52054794520547942</v>
      </c>
    </row>
    <row r="432" spans="1:55" x14ac:dyDescent="0.25">
      <c r="C432" s="662" t="s">
        <v>961</v>
      </c>
      <c r="D432" s="663"/>
      <c r="E432" s="662">
        <v>7</v>
      </c>
      <c r="F432" s="662">
        <v>5</v>
      </c>
      <c r="G432" s="662">
        <v>3</v>
      </c>
      <c r="H432" s="662">
        <v>10</v>
      </c>
      <c r="I432" s="662">
        <v>5</v>
      </c>
      <c r="J432" s="662">
        <v>2</v>
      </c>
      <c r="K432" s="662">
        <v>9</v>
      </c>
      <c r="L432" s="662">
        <v>5</v>
      </c>
      <c r="M432" s="662">
        <v>4</v>
      </c>
      <c r="N432" s="662">
        <v>10</v>
      </c>
      <c r="O432" s="662">
        <v>4</v>
      </c>
      <c r="P432" s="662">
        <v>6</v>
      </c>
      <c r="Q432" s="681">
        <f t="shared" si="126"/>
        <v>70</v>
      </c>
      <c r="S432" s="662">
        <v>9</v>
      </c>
      <c r="T432" s="662">
        <v>7</v>
      </c>
      <c r="U432" s="662">
        <v>6</v>
      </c>
      <c r="V432" s="662">
        <v>7</v>
      </c>
      <c r="W432" s="683">
        <v>5</v>
      </c>
      <c r="X432" s="683">
        <v>2</v>
      </c>
      <c r="Y432" s="683">
        <v>9</v>
      </c>
      <c r="Z432" s="683">
        <v>5</v>
      </c>
      <c r="AA432" s="683">
        <v>4</v>
      </c>
      <c r="AB432" s="683">
        <v>10</v>
      </c>
      <c r="AC432" s="683">
        <v>4</v>
      </c>
      <c r="AD432" s="683">
        <v>6</v>
      </c>
      <c r="AE432" s="684">
        <f t="shared" si="135"/>
        <v>74</v>
      </c>
      <c r="AG432" s="663">
        <v>6</v>
      </c>
      <c r="AH432" s="663">
        <v>7</v>
      </c>
      <c r="AI432" s="663">
        <v>7</v>
      </c>
      <c r="AJ432" s="663">
        <v>6</v>
      </c>
      <c r="AK432" s="663">
        <v>6</v>
      </c>
      <c r="AL432" s="663">
        <v>6</v>
      </c>
      <c r="AM432" s="663">
        <v>7</v>
      </c>
      <c r="AN432" s="663">
        <v>7</v>
      </c>
      <c r="AO432" s="663">
        <v>6</v>
      </c>
      <c r="AP432" s="663">
        <v>7</v>
      </c>
      <c r="AQ432" s="663">
        <v>7</v>
      </c>
      <c r="AR432" s="663">
        <v>6</v>
      </c>
      <c r="AS432" s="685">
        <f t="shared" si="145"/>
        <v>78</v>
      </c>
      <c r="AU432" s="686">
        <f t="shared" si="127"/>
        <v>70</v>
      </c>
      <c r="AV432" s="665">
        <f t="shared" si="132"/>
        <v>74</v>
      </c>
      <c r="AW432" s="687">
        <f t="shared" si="128"/>
        <v>5.7142857142857162E-2</v>
      </c>
      <c r="AX432" s="663">
        <f t="shared" si="129"/>
        <v>78</v>
      </c>
      <c r="AY432" s="713">
        <f t="shared" si="130"/>
        <v>5.4054054054053946E-2</v>
      </c>
      <c r="BC432" s="688">
        <f t="shared" si="131"/>
        <v>0.20273972602739726</v>
      </c>
    </row>
    <row r="433" spans="1:55" x14ac:dyDescent="0.25">
      <c r="B433" s="662" t="s">
        <v>1223</v>
      </c>
      <c r="C433" s="662" t="s">
        <v>932</v>
      </c>
      <c r="D433" s="663"/>
      <c r="O433" s="662">
        <v>1</v>
      </c>
      <c r="Q433" s="681">
        <f t="shared" si="126"/>
        <v>1</v>
      </c>
      <c r="W433" s="683">
        <v>0</v>
      </c>
      <c r="X433" s="683">
        <v>0</v>
      </c>
      <c r="Y433" s="683">
        <v>0</v>
      </c>
      <c r="Z433" s="683">
        <v>0</v>
      </c>
      <c r="AA433" s="683">
        <v>0</v>
      </c>
      <c r="AB433" s="683">
        <v>0</v>
      </c>
      <c r="AC433" s="683">
        <v>0</v>
      </c>
      <c r="AD433" s="683">
        <v>0</v>
      </c>
      <c r="AE433" s="684">
        <f t="shared" si="135"/>
        <v>0</v>
      </c>
      <c r="AG433" s="663">
        <v>0</v>
      </c>
      <c r="AH433" s="663">
        <v>0</v>
      </c>
      <c r="AI433" s="663">
        <v>0</v>
      </c>
      <c r="AJ433" s="663">
        <v>0</v>
      </c>
      <c r="AK433" s="663">
        <v>0</v>
      </c>
      <c r="AL433" s="663">
        <v>0</v>
      </c>
      <c r="AM433" s="663">
        <v>0</v>
      </c>
      <c r="AN433" s="663">
        <v>0</v>
      </c>
      <c r="AO433" s="663">
        <v>0</v>
      </c>
      <c r="AP433" s="663">
        <v>0</v>
      </c>
      <c r="AQ433" s="663">
        <v>0</v>
      </c>
      <c r="AR433" s="663">
        <v>0</v>
      </c>
      <c r="AS433" s="685">
        <f t="shared" si="145"/>
        <v>0</v>
      </c>
      <c r="AU433" s="686">
        <f t="shared" si="127"/>
        <v>1</v>
      </c>
      <c r="AV433" s="665">
        <f t="shared" si="132"/>
        <v>0</v>
      </c>
      <c r="AW433" s="687">
        <f t="shared" si="128"/>
        <v>-1</v>
      </c>
      <c r="AX433" s="663">
        <f t="shared" si="129"/>
        <v>0</v>
      </c>
      <c r="AY433" s="713">
        <v>0</v>
      </c>
      <c r="BC433" s="688">
        <f t="shared" si="131"/>
        <v>2.7397260273972603E-3</v>
      </c>
    </row>
    <row r="434" spans="1:55" x14ac:dyDescent="0.25">
      <c r="C434" s="662" t="s">
        <v>939</v>
      </c>
      <c r="D434" s="663"/>
      <c r="E434" s="662">
        <v>22</v>
      </c>
      <c r="F434" s="662">
        <v>9</v>
      </c>
      <c r="G434" s="662">
        <v>11</v>
      </c>
      <c r="H434" s="662">
        <v>7</v>
      </c>
      <c r="I434" s="662">
        <v>16</v>
      </c>
      <c r="J434" s="662">
        <v>12</v>
      </c>
      <c r="K434" s="662">
        <v>9</v>
      </c>
      <c r="L434" s="662">
        <v>12</v>
      </c>
      <c r="M434" s="662">
        <v>11</v>
      </c>
      <c r="N434" s="662">
        <v>13</v>
      </c>
      <c r="O434" s="662">
        <v>13</v>
      </c>
      <c r="P434" s="662">
        <v>13</v>
      </c>
      <c r="Q434" s="681">
        <f t="shared" si="126"/>
        <v>148</v>
      </c>
      <c r="S434" s="662">
        <v>13</v>
      </c>
      <c r="T434" s="662">
        <v>14</v>
      </c>
      <c r="U434" s="662">
        <v>11</v>
      </c>
      <c r="V434" s="662">
        <v>13</v>
      </c>
      <c r="W434" s="683">
        <v>16</v>
      </c>
      <c r="X434" s="683">
        <v>12</v>
      </c>
      <c r="Y434" s="683">
        <v>9</v>
      </c>
      <c r="Z434" s="683">
        <v>12</v>
      </c>
      <c r="AA434" s="683">
        <v>11</v>
      </c>
      <c r="AB434" s="683">
        <v>13</v>
      </c>
      <c r="AC434" s="683">
        <v>13</v>
      </c>
      <c r="AD434" s="683">
        <v>13</v>
      </c>
      <c r="AE434" s="684">
        <f t="shared" si="135"/>
        <v>150</v>
      </c>
      <c r="AG434" s="663">
        <v>12</v>
      </c>
      <c r="AH434" s="663">
        <v>12</v>
      </c>
      <c r="AI434" s="663">
        <v>12</v>
      </c>
      <c r="AJ434" s="663">
        <v>12</v>
      </c>
      <c r="AK434" s="663">
        <v>12</v>
      </c>
      <c r="AL434" s="663">
        <v>12</v>
      </c>
      <c r="AM434" s="663">
        <v>13</v>
      </c>
      <c r="AN434" s="663">
        <v>13</v>
      </c>
      <c r="AO434" s="663">
        <v>13</v>
      </c>
      <c r="AP434" s="663">
        <v>13</v>
      </c>
      <c r="AQ434" s="663">
        <v>13</v>
      </c>
      <c r="AR434" s="663">
        <v>13</v>
      </c>
      <c r="AS434" s="685">
        <f t="shared" si="145"/>
        <v>150</v>
      </c>
      <c r="AU434" s="686">
        <f t="shared" si="127"/>
        <v>148</v>
      </c>
      <c r="AV434" s="665">
        <f t="shared" si="132"/>
        <v>150</v>
      </c>
      <c r="AW434" s="687">
        <f t="shared" si="128"/>
        <v>1.3513513513513598E-2</v>
      </c>
      <c r="AX434" s="663">
        <f t="shared" si="129"/>
        <v>150</v>
      </c>
      <c r="AY434" s="713">
        <f t="shared" si="130"/>
        <v>0</v>
      </c>
      <c r="BC434" s="688">
        <f t="shared" si="131"/>
        <v>0.41095890410958902</v>
      </c>
    </row>
    <row r="435" spans="1:55" x14ac:dyDescent="0.25">
      <c r="C435" s="662" t="s">
        <v>961</v>
      </c>
      <c r="D435" s="663"/>
      <c r="G435" s="662">
        <v>1</v>
      </c>
      <c r="Q435" s="681">
        <f t="shared" si="126"/>
        <v>1</v>
      </c>
      <c r="W435" s="683">
        <f t="shared" si="146"/>
        <v>0</v>
      </c>
      <c r="X435" s="683">
        <f t="shared" si="146"/>
        <v>0</v>
      </c>
      <c r="Y435" s="683">
        <f t="shared" si="146"/>
        <v>0</v>
      </c>
      <c r="Z435" s="683">
        <f t="shared" si="146"/>
        <v>0</v>
      </c>
      <c r="AA435" s="683">
        <f t="shared" si="146"/>
        <v>0</v>
      </c>
      <c r="AB435" s="683">
        <f t="shared" si="146"/>
        <v>0</v>
      </c>
      <c r="AC435" s="683">
        <f t="shared" si="146"/>
        <v>0</v>
      </c>
      <c r="AD435" s="683">
        <f t="shared" si="146"/>
        <v>0</v>
      </c>
      <c r="AE435" s="684">
        <f t="shared" si="135"/>
        <v>0</v>
      </c>
      <c r="AG435" s="663">
        <v>0</v>
      </c>
      <c r="AH435" s="663">
        <v>0</v>
      </c>
      <c r="AI435" s="663">
        <v>0</v>
      </c>
      <c r="AJ435" s="663">
        <v>0</v>
      </c>
      <c r="AK435" s="663">
        <v>0</v>
      </c>
      <c r="AL435" s="663">
        <v>0</v>
      </c>
      <c r="AM435" s="663">
        <v>0</v>
      </c>
      <c r="AN435" s="663">
        <v>0</v>
      </c>
      <c r="AO435" s="663">
        <v>0</v>
      </c>
      <c r="AP435" s="663">
        <v>0</v>
      </c>
      <c r="AQ435" s="663">
        <v>0</v>
      </c>
      <c r="AR435" s="663">
        <v>0</v>
      </c>
      <c r="AS435" s="685">
        <f t="shared" si="145"/>
        <v>0</v>
      </c>
      <c r="AU435" s="686">
        <f t="shared" si="127"/>
        <v>1</v>
      </c>
      <c r="AV435" s="665">
        <f t="shared" si="132"/>
        <v>0</v>
      </c>
      <c r="AW435" s="687">
        <f t="shared" si="128"/>
        <v>-1</v>
      </c>
      <c r="AX435" s="663">
        <f t="shared" si="129"/>
        <v>0</v>
      </c>
      <c r="AY435" s="713">
        <v>0</v>
      </c>
      <c r="BC435" s="688">
        <f t="shared" si="131"/>
        <v>0</v>
      </c>
    </row>
    <row r="436" spans="1:55" x14ac:dyDescent="0.25">
      <c r="B436" s="662" t="s">
        <v>1224</v>
      </c>
      <c r="C436" s="662" t="s">
        <v>932</v>
      </c>
      <c r="D436" s="663"/>
      <c r="E436" s="662">
        <v>38</v>
      </c>
      <c r="F436" s="662">
        <v>16</v>
      </c>
      <c r="G436" s="662">
        <v>17</v>
      </c>
      <c r="H436" s="662">
        <v>32</v>
      </c>
      <c r="I436" s="662">
        <v>12</v>
      </c>
      <c r="J436" s="662">
        <v>18</v>
      </c>
      <c r="K436" s="662">
        <v>22</v>
      </c>
      <c r="L436" s="662">
        <v>24</v>
      </c>
      <c r="M436" s="662">
        <v>18</v>
      </c>
      <c r="N436" s="662">
        <v>25</v>
      </c>
      <c r="O436" s="662">
        <v>21</v>
      </c>
      <c r="P436" s="662">
        <v>8</v>
      </c>
      <c r="Q436" s="681">
        <f t="shared" si="126"/>
        <v>251</v>
      </c>
      <c r="S436" s="662">
        <v>17</v>
      </c>
      <c r="T436" s="662">
        <v>21</v>
      </c>
      <c r="U436" s="662">
        <v>24</v>
      </c>
      <c r="V436" s="662">
        <v>28</v>
      </c>
      <c r="W436" s="683">
        <v>12</v>
      </c>
      <c r="X436" s="683">
        <v>18</v>
      </c>
      <c r="Y436" s="683">
        <v>22</v>
      </c>
      <c r="Z436" s="683">
        <v>24</v>
      </c>
      <c r="AA436" s="683">
        <v>18</v>
      </c>
      <c r="AB436" s="683">
        <v>25</v>
      </c>
      <c r="AC436" s="683">
        <v>21</v>
      </c>
      <c r="AD436" s="683">
        <v>8</v>
      </c>
      <c r="AE436" s="684">
        <f t="shared" si="135"/>
        <v>238</v>
      </c>
      <c r="AG436" s="663">
        <v>20</v>
      </c>
      <c r="AH436" s="663">
        <v>20</v>
      </c>
      <c r="AI436" s="663">
        <v>20</v>
      </c>
      <c r="AJ436" s="663">
        <v>20</v>
      </c>
      <c r="AK436" s="663">
        <v>20</v>
      </c>
      <c r="AL436" s="663">
        <v>20</v>
      </c>
      <c r="AM436" s="663">
        <v>20</v>
      </c>
      <c r="AN436" s="663">
        <v>20</v>
      </c>
      <c r="AO436" s="663">
        <v>20</v>
      </c>
      <c r="AP436" s="663">
        <v>20</v>
      </c>
      <c r="AQ436" s="663">
        <v>20</v>
      </c>
      <c r="AR436" s="663">
        <v>20</v>
      </c>
      <c r="AS436" s="685">
        <f t="shared" si="145"/>
        <v>240</v>
      </c>
      <c r="AU436" s="686">
        <f t="shared" si="127"/>
        <v>251</v>
      </c>
      <c r="AV436" s="665">
        <f t="shared" si="132"/>
        <v>238</v>
      </c>
      <c r="AW436" s="687">
        <f t="shared" si="128"/>
        <v>-5.1792828685258918E-2</v>
      </c>
      <c r="AX436" s="663">
        <f t="shared" si="129"/>
        <v>240</v>
      </c>
      <c r="AY436" s="713">
        <f t="shared" si="130"/>
        <v>8.4033613445377853E-3</v>
      </c>
      <c r="BC436" s="688">
        <f t="shared" si="131"/>
        <v>0.65205479452054793</v>
      </c>
    </row>
    <row r="437" spans="1:55" x14ac:dyDescent="0.25">
      <c r="C437" s="662" t="s">
        <v>939</v>
      </c>
      <c r="D437" s="663"/>
      <c r="E437" s="662">
        <v>1</v>
      </c>
      <c r="F437" s="662">
        <v>2</v>
      </c>
      <c r="G437" s="662">
        <v>3</v>
      </c>
      <c r="I437" s="662">
        <v>1</v>
      </c>
      <c r="K437" s="662">
        <v>2</v>
      </c>
      <c r="M437" s="662">
        <v>1</v>
      </c>
      <c r="N437" s="662">
        <v>1</v>
      </c>
      <c r="O437" s="662">
        <v>2</v>
      </c>
      <c r="P437" s="662">
        <v>2</v>
      </c>
      <c r="Q437" s="681">
        <f t="shared" si="126"/>
        <v>15</v>
      </c>
      <c r="S437" s="662">
        <v>2</v>
      </c>
      <c r="T437" s="662">
        <v>1</v>
      </c>
      <c r="U437" s="662">
        <v>4</v>
      </c>
      <c r="W437" s="683">
        <v>1</v>
      </c>
      <c r="X437" s="683">
        <v>1</v>
      </c>
      <c r="Y437" s="683">
        <v>1</v>
      </c>
      <c r="Z437" s="683">
        <v>1</v>
      </c>
      <c r="AA437" s="683">
        <v>1</v>
      </c>
      <c r="AB437" s="683">
        <v>1</v>
      </c>
      <c r="AC437" s="683">
        <v>1</v>
      </c>
      <c r="AD437" s="683">
        <v>1</v>
      </c>
      <c r="AE437" s="684">
        <f t="shared" si="135"/>
        <v>15</v>
      </c>
      <c r="AG437" s="663">
        <v>1</v>
      </c>
      <c r="AH437" s="663">
        <v>1</v>
      </c>
      <c r="AI437" s="663">
        <v>1</v>
      </c>
      <c r="AJ437" s="663">
        <v>1</v>
      </c>
      <c r="AK437" s="663">
        <v>1</v>
      </c>
      <c r="AL437" s="663">
        <v>1</v>
      </c>
      <c r="AM437" s="663">
        <v>1</v>
      </c>
      <c r="AN437" s="663">
        <v>1</v>
      </c>
      <c r="AO437" s="663">
        <v>1</v>
      </c>
      <c r="AP437" s="663">
        <v>1</v>
      </c>
      <c r="AQ437" s="663">
        <v>1</v>
      </c>
      <c r="AR437" s="663">
        <v>1</v>
      </c>
      <c r="AS437" s="685">
        <f t="shared" si="145"/>
        <v>12</v>
      </c>
      <c r="AU437" s="686">
        <f t="shared" si="127"/>
        <v>15</v>
      </c>
      <c r="AV437" s="665">
        <f t="shared" si="132"/>
        <v>15</v>
      </c>
      <c r="AW437" s="687">
        <f t="shared" si="128"/>
        <v>0</v>
      </c>
      <c r="AX437" s="663">
        <f t="shared" si="129"/>
        <v>12</v>
      </c>
      <c r="AY437" s="713">
        <f t="shared" si="130"/>
        <v>-0.19999999999999996</v>
      </c>
      <c r="BC437" s="688">
        <f t="shared" si="131"/>
        <v>4.3835616438356165E-2</v>
      </c>
    </row>
    <row r="438" spans="1:55" x14ac:dyDescent="0.25">
      <c r="A438" s="693" t="s">
        <v>1225</v>
      </c>
      <c r="B438" s="693"/>
      <c r="C438" s="693"/>
      <c r="D438" s="694"/>
      <c r="E438" s="693">
        <v>107</v>
      </c>
      <c r="F438" s="693">
        <v>86</v>
      </c>
      <c r="G438" s="693">
        <v>90</v>
      </c>
      <c r="H438" s="693">
        <v>113</v>
      </c>
      <c r="I438" s="693">
        <v>107</v>
      </c>
      <c r="J438" s="693">
        <v>114</v>
      </c>
      <c r="K438" s="693">
        <v>109</v>
      </c>
      <c r="L438" s="693">
        <v>111</v>
      </c>
      <c r="M438" s="693">
        <v>142</v>
      </c>
      <c r="N438" s="693">
        <v>143</v>
      </c>
      <c r="O438" s="693">
        <v>136</v>
      </c>
      <c r="P438" s="693">
        <v>123</v>
      </c>
      <c r="Q438" s="695">
        <f t="shared" si="126"/>
        <v>1381</v>
      </c>
      <c r="R438" s="695"/>
      <c r="S438" s="693">
        <v>125</v>
      </c>
      <c r="T438" s="693">
        <v>159</v>
      </c>
      <c r="U438" s="693">
        <v>94</v>
      </c>
      <c r="V438" s="693">
        <v>125</v>
      </c>
      <c r="W438" s="696">
        <f>SUM(W420:W437)</f>
        <v>113</v>
      </c>
      <c r="X438" s="696">
        <f t="shared" ref="X438:AD438" si="147">SUM(X420:X437)</f>
        <v>114</v>
      </c>
      <c r="Y438" s="696">
        <f t="shared" si="147"/>
        <v>126</v>
      </c>
      <c r="Z438" s="696">
        <f t="shared" si="147"/>
        <v>108</v>
      </c>
      <c r="AA438" s="696">
        <f t="shared" si="147"/>
        <v>145</v>
      </c>
      <c r="AB438" s="696">
        <f t="shared" si="147"/>
        <v>148</v>
      </c>
      <c r="AC438" s="696">
        <f t="shared" si="147"/>
        <v>131</v>
      </c>
      <c r="AD438" s="696">
        <f t="shared" si="147"/>
        <v>118</v>
      </c>
      <c r="AE438" s="697">
        <f t="shared" si="135"/>
        <v>1506</v>
      </c>
      <c r="AF438" s="694"/>
      <c r="AG438" s="694">
        <f t="shared" ref="AG438:AR438" si="148">SUM(AG420:AG437)</f>
        <v>126</v>
      </c>
      <c r="AH438" s="694">
        <f t="shared" si="148"/>
        <v>128</v>
      </c>
      <c r="AI438" s="694">
        <f t="shared" si="148"/>
        <v>129</v>
      </c>
      <c r="AJ438" s="694">
        <f t="shared" si="148"/>
        <v>128</v>
      </c>
      <c r="AK438" s="694">
        <f t="shared" si="148"/>
        <v>125</v>
      </c>
      <c r="AL438" s="694">
        <f t="shared" si="148"/>
        <v>128</v>
      </c>
      <c r="AM438" s="694">
        <f t="shared" si="148"/>
        <v>128</v>
      </c>
      <c r="AN438" s="694">
        <f t="shared" si="148"/>
        <v>131</v>
      </c>
      <c r="AO438" s="694">
        <f t="shared" si="148"/>
        <v>128</v>
      </c>
      <c r="AP438" s="694">
        <f t="shared" si="148"/>
        <v>130</v>
      </c>
      <c r="AQ438" s="694">
        <f t="shared" si="148"/>
        <v>129</v>
      </c>
      <c r="AR438" s="694">
        <f t="shared" si="148"/>
        <v>129</v>
      </c>
      <c r="AS438" s="694">
        <f>SUM(AS420:AS437)</f>
        <v>1539</v>
      </c>
      <c r="AT438" s="694"/>
      <c r="AU438" s="697">
        <f t="shared" si="127"/>
        <v>1381</v>
      </c>
      <c r="AV438" s="697">
        <f t="shared" si="132"/>
        <v>1506</v>
      </c>
      <c r="AW438" s="698">
        <f t="shared" si="128"/>
        <v>9.0514120202751736E-2</v>
      </c>
      <c r="AX438" s="694">
        <f t="shared" si="129"/>
        <v>1539</v>
      </c>
      <c r="AY438" s="698">
        <f t="shared" si="130"/>
        <v>2.1912350597609542E-2</v>
      </c>
      <c r="AZ438" s="698"/>
      <c r="BA438" s="698"/>
      <c r="BC438" s="688">
        <f t="shared" si="131"/>
        <v>4.0767123287671234</v>
      </c>
    </row>
    <row r="439" spans="1:55" x14ac:dyDescent="0.25">
      <c r="A439" s="664" t="s">
        <v>1226</v>
      </c>
      <c r="B439" s="662" t="s">
        <v>1227</v>
      </c>
      <c r="C439" s="662" t="s">
        <v>939</v>
      </c>
      <c r="D439" s="663" t="s">
        <v>1013</v>
      </c>
      <c r="Q439" s="681">
        <f t="shared" si="126"/>
        <v>0</v>
      </c>
      <c r="U439" s="662">
        <v>6</v>
      </c>
      <c r="V439" s="662">
        <v>5</v>
      </c>
      <c r="W439" s="683">
        <v>5</v>
      </c>
      <c r="X439" s="683">
        <v>5</v>
      </c>
      <c r="Y439" s="683">
        <v>5</v>
      </c>
      <c r="Z439" s="683">
        <v>5</v>
      </c>
      <c r="AA439" s="683">
        <v>5</v>
      </c>
      <c r="AB439" s="683">
        <v>5</v>
      </c>
      <c r="AC439" s="683">
        <v>5</v>
      </c>
      <c r="AD439" s="683">
        <v>5</v>
      </c>
      <c r="AE439" s="684">
        <f t="shared" si="135"/>
        <v>51</v>
      </c>
      <c r="AG439" s="663">
        <v>10</v>
      </c>
      <c r="AH439" s="663">
        <v>10</v>
      </c>
      <c r="AI439" s="663">
        <v>10</v>
      </c>
      <c r="AJ439" s="663">
        <v>10</v>
      </c>
      <c r="AK439" s="663">
        <v>10</v>
      </c>
      <c r="AL439" s="663">
        <v>10</v>
      </c>
      <c r="AM439" s="663">
        <v>10</v>
      </c>
      <c r="AN439" s="663">
        <v>10</v>
      </c>
      <c r="AO439" s="663">
        <v>10</v>
      </c>
      <c r="AP439" s="663">
        <v>10</v>
      </c>
      <c r="AQ439" s="663">
        <v>10</v>
      </c>
      <c r="AR439" s="663">
        <v>10</v>
      </c>
      <c r="AS439" s="685">
        <f t="shared" ref="AS439:AS446" si="149">SUM(AG439:AR439)</f>
        <v>120</v>
      </c>
      <c r="AU439" s="686">
        <f t="shared" si="127"/>
        <v>0</v>
      </c>
      <c r="AV439" s="665">
        <f t="shared" si="132"/>
        <v>51</v>
      </c>
      <c r="AW439" s="687">
        <v>1</v>
      </c>
      <c r="AX439" s="663">
        <f t="shared" si="129"/>
        <v>120</v>
      </c>
      <c r="AY439" s="713">
        <f t="shared" si="130"/>
        <v>1.3529411764705883</v>
      </c>
      <c r="BC439" s="688">
        <f t="shared" si="131"/>
        <v>3.0136986301369864E-2</v>
      </c>
    </row>
    <row r="440" spans="1:55" x14ac:dyDescent="0.25">
      <c r="B440" s="662" t="s">
        <v>1228</v>
      </c>
      <c r="C440" s="662" t="s">
        <v>939</v>
      </c>
      <c r="D440" s="663"/>
      <c r="E440" s="662">
        <v>35</v>
      </c>
      <c r="F440" s="662">
        <v>17</v>
      </c>
      <c r="G440" s="662">
        <v>16</v>
      </c>
      <c r="H440" s="662">
        <v>21</v>
      </c>
      <c r="I440" s="662">
        <v>20</v>
      </c>
      <c r="J440" s="662">
        <v>23</v>
      </c>
      <c r="K440" s="662">
        <v>18</v>
      </c>
      <c r="L440" s="662">
        <v>8</v>
      </c>
      <c r="M440" s="662">
        <v>19</v>
      </c>
      <c r="N440" s="662">
        <v>17</v>
      </c>
      <c r="O440" s="662">
        <v>18</v>
      </c>
      <c r="P440" s="662">
        <v>17</v>
      </c>
      <c r="Q440" s="681">
        <f t="shared" si="126"/>
        <v>229</v>
      </c>
      <c r="S440" s="662">
        <v>18</v>
      </c>
      <c r="T440" s="662">
        <v>31</v>
      </c>
      <c r="U440" s="662">
        <v>20</v>
      </c>
      <c r="V440" s="662">
        <v>9</v>
      </c>
      <c r="W440" s="683">
        <v>15</v>
      </c>
      <c r="X440" s="683">
        <v>15</v>
      </c>
      <c r="Y440" s="683">
        <v>10</v>
      </c>
      <c r="Z440" s="683">
        <v>15</v>
      </c>
      <c r="AA440" s="683">
        <v>15</v>
      </c>
      <c r="AB440" s="683">
        <v>15</v>
      </c>
      <c r="AC440" s="683">
        <v>15</v>
      </c>
      <c r="AD440" s="683">
        <v>15</v>
      </c>
      <c r="AE440" s="684">
        <f t="shared" si="135"/>
        <v>193</v>
      </c>
      <c r="AG440" s="663">
        <v>16</v>
      </c>
      <c r="AH440" s="663">
        <v>16</v>
      </c>
      <c r="AI440" s="663">
        <v>16</v>
      </c>
      <c r="AJ440" s="663">
        <v>16</v>
      </c>
      <c r="AK440" s="663">
        <v>16</v>
      </c>
      <c r="AL440" s="663">
        <v>16</v>
      </c>
      <c r="AM440" s="663">
        <v>16</v>
      </c>
      <c r="AN440" s="663">
        <v>16</v>
      </c>
      <c r="AO440" s="663">
        <v>16</v>
      </c>
      <c r="AP440" s="663">
        <v>16</v>
      </c>
      <c r="AQ440" s="663">
        <v>16</v>
      </c>
      <c r="AR440" s="663">
        <v>16</v>
      </c>
      <c r="AS440" s="685">
        <f t="shared" si="149"/>
        <v>192</v>
      </c>
      <c r="AU440" s="686">
        <f t="shared" si="127"/>
        <v>229</v>
      </c>
      <c r="AV440" s="665">
        <f t="shared" si="132"/>
        <v>193</v>
      </c>
      <c r="AW440" s="687">
        <f t="shared" si="128"/>
        <v>-0.15720524017467252</v>
      </c>
      <c r="AX440" s="663">
        <f t="shared" si="129"/>
        <v>192</v>
      </c>
      <c r="AY440" s="713">
        <f t="shared" si="130"/>
        <v>-5.1813471502590858E-3</v>
      </c>
      <c r="BC440" s="688">
        <f t="shared" si="131"/>
        <v>0.59726027397260273</v>
      </c>
    </row>
    <row r="441" spans="1:55" x14ac:dyDescent="0.25">
      <c r="B441" s="662" t="s">
        <v>1229</v>
      </c>
      <c r="C441" s="662" t="s">
        <v>939</v>
      </c>
      <c r="D441" s="663"/>
      <c r="E441" s="662">
        <v>4</v>
      </c>
      <c r="F441" s="662">
        <v>2</v>
      </c>
      <c r="G441" s="662">
        <v>4</v>
      </c>
      <c r="H441" s="662">
        <v>3</v>
      </c>
      <c r="I441" s="662">
        <v>2</v>
      </c>
      <c r="J441" s="662">
        <v>4</v>
      </c>
      <c r="K441" s="662">
        <v>3</v>
      </c>
      <c r="L441" s="662">
        <v>1</v>
      </c>
      <c r="M441" s="662">
        <v>5</v>
      </c>
      <c r="N441" s="662">
        <v>2</v>
      </c>
      <c r="O441" s="662">
        <v>5</v>
      </c>
      <c r="P441" s="662">
        <v>2</v>
      </c>
      <c r="Q441" s="681">
        <f t="shared" si="126"/>
        <v>37</v>
      </c>
      <c r="S441" s="662">
        <v>1</v>
      </c>
      <c r="T441" s="662">
        <v>2</v>
      </c>
      <c r="U441" s="662">
        <v>3</v>
      </c>
      <c r="W441" s="683">
        <v>1</v>
      </c>
      <c r="X441" s="683">
        <v>2</v>
      </c>
      <c r="Y441" s="683">
        <f t="shared" ref="Y441" si="150">$BC441*Y$1</f>
        <v>2.547945205479452</v>
      </c>
      <c r="Z441" s="683">
        <v>0</v>
      </c>
      <c r="AA441" s="683">
        <v>1</v>
      </c>
      <c r="AB441" s="683">
        <v>2</v>
      </c>
      <c r="AC441" s="683">
        <v>3</v>
      </c>
      <c r="AD441" s="683">
        <v>0</v>
      </c>
      <c r="AE441" s="684">
        <f t="shared" si="135"/>
        <v>17.547945205479451</v>
      </c>
      <c r="AG441" s="663">
        <v>1</v>
      </c>
      <c r="AH441" s="663">
        <v>2</v>
      </c>
      <c r="AI441" s="663">
        <v>1</v>
      </c>
      <c r="AJ441" s="663">
        <v>2</v>
      </c>
      <c r="AK441" s="663">
        <v>1</v>
      </c>
      <c r="AL441" s="663">
        <v>2</v>
      </c>
      <c r="AM441" s="663">
        <v>1</v>
      </c>
      <c r="AN441" s="663">
        <v>2</v>
      </c>
      <c r="AO441" s="663">
        <v>1</v>
      </c>
      <c r="AP441" s="663">
        <v>2</v>
      </c>
      <c r="AQ441" s="663">
        <v>1</v>
      </c>
      <c r="AR441" s="663">
        <v>2</v>
      </c>
      <c r="AS441" s="685">
        <f t="shared" si="149"/>
        <v>18</v>
      </c>
      <c r="AU441" s="686">
        <f t="shared" si="127"/>
        <v>37</v>
      </c>
      <c r="AV441" s="665">
        <f t="shared" si="132"/>
        <v>17.547945205479451</v>
      </c>
      <c r="AW441" s="687">
        <f t="shared" si="128"/>
        <v>-0.52573121066271755</v>
      </c>
      <c r="AX441" s="663">
        <f t="shared" si="129"/>
        <v>18</v>
      </c>
      <c r="AY441" s="713">
        <f t="shared" si="130"/>
        <v>2.5761124121779888E-2</v>
      </c>
      <c r="BC441" s="688">
        <f t="shared" si="131"/>
        <v>8.2191780821917804E-2</v>
      </c>
    </row>
    <row r="442" spans="1:55" x14ac:dyDescent="0.25">
      <c r="C442" s="662" t="s">
        <v>961</v>
      </c>
      <c r="D442" s="663"/>
      <c r="E442" s="662">
        <v>4</v>
      </c>
      <c r="F442" s="662">
        <v>10</v>
      </c>
      <c r="G442" s="662">
        <v>8</v>
      </c>
      <c r="H442" s="662">
        <v>6</v>
      </c>
      <c r="I442" s="662">
        <v>6</v>
      </c>
      <c r="J442" s="662">
        <v>1</v>
      </c>
      <c r="K442" s="662">
        <v>4</v>
      </c>
      <c r="L442" s="662">
        <v>5</v>
      </c>
      <c r="M442" s="662">
        <v>9</v>
      </c>
      <c r="N442" s="662">
        <v>5</v>
      </c>
      <c r="O442" s="662">
        <v>7</v>
      </c>
      <c r="P442" s="662">
        <v>8</v>
      </c>
      <c r="Q442" s="681">
        <f t="shared" si="126"/>
        <v>73</v>
      </c>
      <c r="W442" s="683">
        <v>0</v>
      </c>
      <c r="X442" s="683">
        <v>0</v>
      </c>
      <c r="Y442" s="683">
        <v>0</v>
      </c>
      <c r="Z442" s="683">
        <v>0</v>
      </c>
      <c r="AA442" s="683">
        <v>0</v>
      </c>
      <c r="AB442" s="683">
        <v>0</v>
      </c>
      <c r="AC442" s="683">
        <v>0</v>
      </c>
      <c r="AD442" s="683">
        <v>0</v>
      </c>
      <c r="AE442" s="684">
        <f t="shared" si="135"/>
        <v>0</v>
      </c>
      <c r="AG442" s="663">
        <v>0</v>
      </c>
      <c r="AH442" s="663">
        <v>0</v>
      </c>
      <c r="AI442" s="663">
        <v>0</v>
      </c>
      <c r="AJ442" s="663">
        <v>0</v>
      </c>
      <c r="AK442" s="663">
        <v>0</v>
      </c>
      <c r="AL442" s="663">
        <v>0</v>
      </c>
      <c r="AM442" s="663">
        <v>0</v>
      </c>
      <c r="AN442" s="663">
        <v>0</v>
      </c>
      <c r="AO442" s="663">
        <v>0</v>
      </c>
      <c r="AP442" s="663">
        <v>0</v>
      </c>
      <c r="AQ442" s="663">
        <v>0</v>
      </c>
      <c r="AR442" s="663">
        <v>0</v>
      </c>
      <c r="AS442" s="685">
        <f t="shared" si="149"/>
        <v>0</v>
      </c>
      <c r="AU442" s="686">
        <f t="shared" si="127"/>
        <v>73</v>
      </c>
      <c r="AV442" s="665">
        <f t="shared" si="132"/>
        <v>0</v>
      </c>
      <c r="AW442" s="687">
        <f t="shared" si="128"/>
        <v>-1</v>
      </c>
      <c r="AX442" s="663">
        <f t="shared" si="129"/>
        <v>0</v>
      </c>
      <c r="AY442" s="713">
        <v>0</v>
      </c>
      <c r="BC442" s="688">
        <f t="shared" si="131"/>
        <v>0.12328767123287671</v>
      </c>
    </row>
    <row r="443" spans="1:55" x14ac:dyDescent="0.25">
      <c r="B443" s="662" t="s">
        <v>1230</v>
      </c>
      <c r="C443" s="662" t="s">
        <v>939</v>
      </c>
      <c r="D443" s="663"/>
      <c r="E443" s="662">
        <v>9</v>
      </c>
      <c r="F443" s="662">
        <v>19</v>
      </c>
      <c r="G443" s="662">
        <v>14</v>
      </c>
      <c r="H443" s="662">
        <v>14</v>
      </c>
      <c r="I443" s="662">
        <v>17</v>
      </c>
      <c r="J443" s="662">
        <v>5</v>
      </c>
      <c r="K443" s="662">
        <v>11</v>
      </c>
      <c r="L443" s="662">
        <v>13</v>
      </c>
      <c r="M443" s="662">
        <v>13</v>
      </c>
      <c r="N443" s="662">
        <v>11</v>
      </c>
      <c r="O443" s="662">
        <v>11</v>
      </c>
      <c r="P443" s="662">
        <v>5</v>
      </c>
      <c r="Q443" s="681">
        <f t="shared" si="126"/>
        <v>142</v>
      </c>
      <c r="S443" s="662">
        <v>9</v>
      </c>
      <c r="T443" s="662">
        <v>11</v>
      </c>
      <c r="U443" s="662">
        <v>8</v>
      </c>
      <c r="V443" s="662">
        <v>11</v>
      </c>
      <c r="W443" s="683">
        <v>10</v>
      </c>
      <c r="X443" s="683">
        <v>5</v>
      </c>
      <c r="Y443" s="683">
        <v>11</v>
      </c>
      <c r="Z443" s="683">
        <v>13</v>
      </c>
      <c r="AA443" s="683">
        <v>13</v>
      </c>
      <c r="AB443" s="683">
        <v>11</v>
      </c>
      <c r="AC443" s="683">
        <v>11</v>
      </c>
      <c r="AD443" s="683">
        <v>5</v>
      </c>
      <c r="AE443" s="684">
        <f t="shared" si="135"/>
        <v>118</v>
      </c>
      <c r="AG443" s="663">
        <v>8</v>
      </c>
      <c r="AH443" s="663">
        <v>8</v>
      </c>
      <c r="AI443" s="663">
        <v>8</v>
      </c>
      <c r="AJ443" s="663">
        <v>8</v>
      </c>
      <c r="AK443" s="663">
        <v>8</v>
      </c>
      <c r="AL443" s="663">
        <v>8</v>
      </c>
      <c r="AM443" s="663">
        <v>8</v>
      </c>
      <c r="AN443" s="663">
        <v>8</v>
      </c>
      <c r="AO443" s="663">
        <v>8</v>
      </c>
      <c r="AP443" s="663">
        <v>8</v>
      </c>
      <c r="AQ443" s="663">
        <v>8</v>
      </c>
      <c r="AR443" s="663">
        <v>8</v>
      </c>
      <c r="AS443" s="685">
        <f t="shared" si="149"/>
        <v>96</v>
      </c>
      <c r="AU443" s="686">
        <f t="shared" si="127"/>
        <v>142</v>
      </c>
      <c r="AV443" s="665">
        <f t="shared" si="132"/>
        <v>118</v>
      </c>
      <c r="AW443" s="687">
        <f t="shared" si="128"/>
        <v>-0.16901408450704225</v>
      </c>
      <c r="AX443" s="663">
        <f t="shared" si="129"/>
        <v>96</v>
      </c>
      <c r="AY443" s="713">
        <f t="shared" si="130"/>
        <v>-0.18644067796610164</v>
      </c>
      <c r="BC443" s="688">
        <f t="shared" si="131"/>
        <v>0.34246575342465752</v>
      </c>
    </row>
    <row r="444" spans="1:55" x14ac:dyDescent="0.25">
      <c r="C444" s="662" t="s">
        <v>961</v>
      </c>
      <c r="D444" s="663"/>
      <c r="E444" s="662">
        <v>7</v>
      </c>
      <c r="F444" s="662">
        <v>3</v>
      </c>
      <c r="G444" s="662">
        <v>3</v>
      </c>
      <c r="H444" s="662">
        <v>2</v>
      </c>
      <c r="L444" s="662">
        <v>1</v>
      </c>
      <c r="M444" s="662">
        <v>1</v>
      </c>
      <c r="Q444" s="681">
        <f t="shared" si="126"/>
        <v>17</v>
      </c>
      <c r="V444" s="662">
        <v>1</v>
      </c>
      <c r="W444" s="683">
        <v>0</v>
      </c>
      <c r="X444" s="683">
        <v>0</v>
      </c>
      <c r="Y444" s="683">
        <v>0</v>
      </c>
      <c r="Z444" s="683">
        <v>0</v>
      </c>
      <c r="AA444" s="683">
        <v>0</v>
      </c>
      <c r="AB444" s="683">
        <v>0</v>
      </c>
      <c r="AC444" s="683">
        <v>0</v>
      </c>
      <c r="AD444" s="683">
        <v>0</v>
      </c>
      <c r="AE444" s="684">
        <f t="shared" si="135"/>
        <v>1</v>
      </c>
      <c r="AG444" s="663">
        <v>0</v>
      </c>
      <c r="AH444" s="663">
        <v>0</v>
      </c>
      <c r="AI444" s="663">
        <v>0</v>
      </c>
      <c r="AJ444" s="663">
        <v>0</v>
      </c>
      <c r="AK444" s="663">
        <v>0</v>
      </c>
      <c r="AL444" s="663">
        <v>0</v>
      </c>
      <c r="AM444" s="663">
        <v>0</v>
      </c>
      <c r="AN444" s="663">
        <v>0</v>
      </c>
      <c r="AO444" s="663">
        <v>0</v>
      </c>
      <c r="AP444" s="663">
        <v>0</v>
      </c>
      <c r="AQ444" s="663">
        <v>0</v>
      </c>
      <c r="AR444" s="663">
        <v>0</v>
      </c>
      <c r="AS444" s="685">
        <f t="shared" si="149"/>
        <v>0</v>
      </c>
      <c r="AU444" s="686">
        <f t="shared" si="127"/>
        <v>17</v>
      </c>
      <c r="AV444" s="665">
        <f t="shared" si="132"/>
        <v>1</v>
      </c>
      <c r="AW444" s="687">
        <f t="shared" si="128"/>
        <v>-0.94117647058823528</v>
      </c>
      <c r="AX444" s="663">
        <f t="shared" si="129"/>
        <v>0</v>
      </c>
      <c r="AY444" s="713">
        <f t="shared" si="130"/>
        <v>-1</v>
      </c>
      <c r="BC444" s="688">
        <f t="shared" si="131"/>
        <v>8.21917808219178E-3</v>
      </c>
    </row>
    <row r="445" spans="1:55" x14ac:dyDescent="0.25">
      <c r="B445" s="662" t="s">
        <v>1231</v>
      </c>
      <c r="C445" s="662" t="s">
        <v>939</v>
      </c>
      <c r="D445" s="663"/>
      <c r="E445" s="662">
        <v>11</v>
      </c>
      <c r="F445" s="662">
        <v>15</v>
      </c>
      <c r="G445" s="662">
        <v>14</v>
      </c>
      <c r="H445" s="662">
        <v>11</v>
      </c>
      <c r="I445" s="662">
        <v>4</v>
      </c>
      <c r="J445" s="662">
        <v>22</v>
      </c>
      <c r="K445" s="662">
        <v>15</v>
      </c>
      <c r="L445" s="662">
        <v>8</v>
      </c>
      <c r="M445" s="662">
        <v>10</v>
      </c>
      <c r="N445" s="662">
        <v>16</v>
      </c>
      <c r="O445" s="662">
        <v>10</v>
      </c>
      <c r="P445" s="662">
        <v>19</v>
      </c>
      <c r="Q445" s="681">
        <f t="shared" si="126"/>
        <v>155</v>
      </c>
      <c r="T445" s="662">
        <v>14</v>
      </c>
      <c r="U445" s="662">
        <v>10</v>
      </c>
      <c r="V445" s="662">
        <v>13</v>
      </c>
      <c r="W445" s="683">
        <v>4</v>
      </c>
      <c r="X445" s="683">
        <v>22</v>
      </c>
      <c r="Y445" s="683">
        <v>15</v>
      </c>
      <c r="Z445" s="683">
        <v>8</v>
      </c>
      <c r="AA445" s="683">
        <v>10</v>
      </c>
      <c r="AB445" s="683">
        <v>16</v>
      </c>
      <c r="AC445" s="683">
        <v>10</v>
      </c>
      <c r="AD445" s="683">
        <v>19</v>
      </c>
      <c r="AE445" s="684">
        <f t="shared" si="135"/>
        <v>141</v>
      </c>
      <c r="AG445" s="663">
        <v>12</v>
      </c>
      <c r="AH445" s="663">
        <v>12</v>
      </c>
      <c r="AI445" s="663">
        <v>12</v>
      </c>
      <c r="AJ445" s="663">
        <v>12</v>
      </c>
      <c r="AK445" s="663">
        <v>12</v>
      </c>
      <c r="AL445" s="663">
        <v>12</v>
      </c>
      <c r="AM445" s="663">
        <v>12</v>
      </c>
      <c r="AN445" s="663">
        <v>12</v>
      </c>
      <c r="AO445" s="663">
        <v>12</v>
      </c>
      <c r="AP445" s="663">
        <v>12</v>
      </c>
      <c r="AQ445" s="663">
        <v>12</v>
      </c>
      <c r="AR445" s="663">
        <v>12</v>
      </c>
      <c r="AS445" s="685">
        <f t="shared" si="149"/>
        <v>144</v>
      </c>
      <c r="AU445" s="686">
        <f t="shared" si="127"/>
        <v>155</v>
      </c>
      <c r="AV445" s="665">
        <f t="shared" si="132"/>
        <v>141</v>
      </c>
      <c r="AW445" s="687">
        <f t="shared" si="128"/>
        <v>-9.0322580645161299E-2</v>
      </c>
      <c r="AX445" s="663">
        <f t="shared" si="129"/>
        <v>144</v>
      </c>
      <c r="AY445" s="713">
        <f t="shared" si="130"/>
        <v>2.1276595744680771E-2</v>
      </c>
      <c r="BC445" s="688">
        <f t="shared" si="131"/>
        <v>0.38630136986301372</v>
      </c>
    </row>
    <row r="446" spans="1:55" x14ac:dyDescent="0.25">
      <c r="C446" s="662" t="s">
        <v>961</v>
      </c>
      <c r="D446" s="663"/>
      <c r="G446" s="662">
        <v>2</v>
      </c>
      <c r="I446" s="662">
        <v>2</v>
      </c>
      <c r="L446" s="662">
        <v>2</v>
      </c>
      <c r="Q446" s="681">
        <f t="shared" si="126"/>
        <v>6</v>
      </c>
      <c r="W446" s="683">
        <v>0</v>
      </c>
      <c r="X446" s="683">
        <v>0</v>
      </c>
      <c r="Y446" s="683">
        <v>0</v>
      </c>
      <c r="Z446" s="683">
        <v>0</v>
      </c>
      <c r="AA446" s="683">
        <v>0</v>
      </c>
      <c r="AB446" s="683">
        <v>0</v>
      </c>
      <c r="AC446" s="683">
        <v>0</v>
      </c>
      <c r="AD446" s="683">
        <v>0</v>
      </c>
      <c r="AE446" s="684">
        <f t="shared" si="135"/>
        <v>0</v>
      </c>
      <c r="AG446" s="663">
        <v>0</v>
      </c>
      <c r="AH446" s="663">
        <v>0</v>
      </c>
      <c r="AI446" s="663">
        <v>0</v>
      </c>
      <c r="AJ446" s="663">
        <v>0</v>
      </c>
      <c r="AK446" s="663">
        <v>0</v>
      </c>
      <c r="AL446" s="663">
        <v>0</v>
      </c>
      <c r="AM446" s="663">
        <v>0</v>
      </c>
      <c r="AN446" s="663">
        <v>0</v>
      </c>
      <c r="AO446" s="663">
        <v>0</v>
      </c>
      <c r="AP446" s="663">
        <v>0</v>
      </c>
      <c r="AQ446" s="663">
        <v>0</v>
      </c>
      <c r="AR446" s="663">
        <v>0</v>
      </c>
      <c r="AS446" s="685">
        <f t="shared" si="149"/>
        <v>0</v>
      </c>
      <c r="AU446" s="686">
        <f t="shared" si="127"/>
        <v>6</v>
      </c>
      <c r="AV446" s="665">
        <f t="shared" si="132"/>
        <v>0</v>
      </c>
      <c r="AW446" s="687">
        <f t="shared" si="128"/>
        <v>-1</v>
      </c>
      <c r="AX446" s="663">
        <f t="shared" si="129"/>
        <v>0</v>
      </c>
      <c r="AY446" s="713">
        <v>0</v>
      </c>
      <c r="BC446" s="688">
        <f t="shared" si="131"/>
        <v>1.0958904109589041E-2</v>
      </c>
    </row>
    <row r="447" spans="1:55" x14ac:dyDescent="0.25">
      <c r="A447" s="693" t="s">
        <v>1232</v>
      </c>
      <c r="B447" s="693"/>
      <c r="C447" s="693"/>
      <c r="D447" s="694"/>
      <c r="E447" s="693">
        <v>70</v>
      </c>
      <c r="F447" s="693">
        <v>66</v>
      </c>
      <c r="G447" s="693">
        <v>61</v>
      </c>
      <c r="H447" s="693">
        <v>57</v>
      </c>
      <c r="I447" s="693">
        <v>51</v>
      </c>
      <c r="J447" s="693">
        <v>55</v>
      </c>
      <c r="K447" s="693">
        <v>51</v>
      </c>
      <c r="L447" s="693">
        <v>38</v>
      </c>
      <c r="M447" s="693">
        <v>57</v>
      </c>
      <c r="N447" s="693">
        <v>51</v>
      </c>
      <c r="O447" s="693">
        <v>51</v>
      </c>
      <c r="P447" s="693">
        <v>51</v>
      </c>
      <c r="Q447" s="695">
        <f t="shared" si="126"/>
        <v>659</v>
      </c>
      <c r="R447" s="695"/>
      <c r="S447" s="693">
        <v>28</v>
      </c>
      <c r="T447" s="693">
        <v>58</v>
      </c>
      <c r="U447" s="693">
        <v>47</v>
      </c>
      <c r="V447" s="693">
        <v>39</v>
      </c>
      <c r="W447" s="696">
        <f>SUM(W439:W446)</f>
        <v>35</v>
      </c>
      <c r="X447" s="696">
        <f t="shared" ref="X447:AD447" si="151">SUM(X439:X446)</f>
        <v>49</v>
      </c>
      <c r="Y447" s="696">
        <f t="shared" si="151"/>
        <v>43.547945205479451</v>
      </c>
      <c r="Z447" s="696">
        <f t="shared" si="151"/>
        <v>41</v>
      </c>
      <c r="AA447" s="696">
        <f t="shared" si="151"/>
        <v>44</v>
      </c>
      <c r="AB447" s="696">
        <f t="shared" si="151"/>
        <v>49</v>
      </c>
      <c r="AC447" s="696">
        <f t="shared" si="151"/>
        <v>44</v>
      </c>
      <c r="AD447" s="696">
        <f t="shared" si="151"/>
        <v>44</v>
      </c>
      <c r="AE447" s="697">
        <f t="shared" si="135"/>
        <v>521.54794520547944</v>
      </c>
      <c r="AF447" s="694"/>
      <c r="AG447" s="694">
        <f t="shared" ref="AG447:AR447" si="152">SUM(AG439:AG446)</f>
        <v>47</v>
      </c>
      <c r="AH447" s="694">
        <f t="shared" si="152"/>
        <v>48</v>
      </c>
      <c r="AI447" s="694">
        <f t="shared" si="152"/>
        <v>47</v>
      </c>
      <c r="AJ447" s="694">
        <f t="shared" si="152"/>
        <v>48</v>
      </c>
      <c r="AK447" s="694">
        <f t="shared" si="152"/>
        <v>47</v>
      </c>
      <c r="AL447" s="694">
        <f t="shared" si="152"/>
        <v>48</v>
      </c>
      <c r="AM447" s="694">
        <f t="shared" si="152"/>
        <v>47</v>
      </c>
      <c r="AN447" s="694">
        <f t="shared" si="152"/>
        <v>48</v>
      </c>
      <c r="AO447" s="694">
        <f t="shared" si="152"/>
        <v>47</v>
      </c>
      <c r="AP447" s="694">
        <f t="shared" si="152"/>
        <v>48</v>
      </c>
      <c r="AQ447" s="694">
        <f t="shared" si="152"/>
        <v>47</v>
      </c>
      <c r="AR447" s="694">
        <f t="shared" si="152"/>
        <v>48</v>
      </c>
      <c r="AS447" s="694">
        <f>SUM(AS439:AS446)</f>
        <v>570</v>
      </c>
      <c r="AT447" s="694"/>
      <c r="AU447" s="697">
        <f t="shared" si="127"/>
        <v>659</v>
      </c>
      <c r="AV447" s="697">
        <f t="shared" si="132"/>
        <v>521.54794520547944</v>
      </c>
      <c r="AW447" s="698">
        <f t="shared" si="128"/>
        <v>-0.20857671440746672</v>
      </c>
      <c r="AX447" s="694">
        <f t="shared" si="129"/>
        <v>570</v>
      </c>
      <c r="AY447" s="698">
        <f t="shared" si="130"/>
        <v>9.2900480655582651E-2</v>
      </c>
      <c r="AZ447" s="698"/>
      <c r="BA447" s="698"/>
      <c r="BC447" s="688">
        <f t="shared" si="131"/>
        <v>1.5808219178082192</v>
      </c>
    </row>
    <row r="448" spans="1:55" ht="15.75" thickBot="1" x14ac:dyDescent="0.3">
      <c r="A448" s="715" t="s">
        <v>1233</v>
      </c>
      <c r="B448" s="715"/>
      <c r="C448" s="715"/>
      <c r="D448" s="716"/>
      <c r="E448" s="717">
        <f>E11+E13+E23+E36+E38+E75+E88+E134+E156+E166+E198+E225+E229+E269+E279+E312+E314+E375+E383+E398+E404+E410+E419+E438+E447</f>
        <v>1822</v>
      </c>
      <c r="F448" s="717">
        <f t="shared" ref="F448:P448" si="153">F11+F13+F23+F36+F38+F75+F88+F134+F156+F166+F198+F225+F229+F269+F279+F312+F314+F375+F383+F398+F404+F410+F419+F438+F447</f>
        <v>2043</v>
      </c>
      <c r="G448" s="717">
        <f t="shared" si="153"/>
        <v>1844</v>
      </c>
      <c r="H448" s="717">
        <f t="shared" si="153"/>
        <v>1971</v>
      </c>
      <c r="I448" s="717">
        <f t="shared" si="153"/>
        <v>1884</v>
      </c>
      <c r="J448" s="717">
        <f t="shared" si="153"/>
        <v>1680</v>
      </c>
      <c r="K448" s="717">
        <f t="shared" si="153"/>
        <v>1835</v>
      </c>
      <c r="L448" s="717">
        <f t="shared" si="153"/>
        <v>1576</v>
      </c>
      <c r="M448" s="717">
        <f t="shared" si="153"/>
        <v>1811</v>
      </c>
      <c r="N448" s="717">
        <f t="shared" si="153"/>
        <v>1884</v>
      </c>
      <c r="O448" s="717">
        <f t="shared" si="153"/>
        <v>1970</v>
      </c>
      <c r="P448" s="717">
        <f t="shared" si="153"/>
        <v>1708</v>
      </c>
      <c r="Q448" s="717">
        <f t="shared" si="126"/>
        <v>22028</v>
      </c>
      <c r="R448" s="717"/>
      <c r="S448" s="717">
        <f t="shared" ref="S448:AD448" si="154">S11+S13+S23+S36+S38+S75+S88+S134+S156+S166+S198+S225+S229+S269+S279+S312+S314+S375+S383+S398+S404+S410+S419+S438+S447</f>
        <v>1680</v>
      </c>
      <c r="T448" s="717">
        <f t="shared" si="154"/>
        <v>1864</v>
      </c>
      <c r="U448" s="717">
        <f t="shared" si="154"/>
        <v>1503</v>
      </c>
      <c r="V448" s="717">
        <f t="shared" si="154"/>
        <v>1771</v>
      </c>
      <c r="W448" s="718">
        <f t="shared" si="154"/>
        <v>1540.5479452054792</v>
      </c>
      <c r="X448" s="718">
        <f t="shared" si="154"/>
        <v>1510.0082191780821</v>
      </c>
      <c r="Y448" s="718">
        <f t="shared" si="154"/>
        <v>1624.2767123287672</v>
      </c>
      <c r="Z448" s="718">
        <f t="shared" si="154"/>
        <v>1484.0712328767122</v>
      </c>
      <c r="AA448" s="718">
        <f t="shared" si="154"/>
        <v>1628.3780821917808</v>
      </c>
      <c r="AB448" s="718">
        <f t="shared" si="154"/>
        <v>1659.2191780821918</v>
      </c>
      <c r="AC448" s="718">
        <f t="shared" si="154"/>
        <v>1692.1835616438357</v>
      </c>
      <c r="AD448" s="718">
        <f t="shared" si="154"/>
        <v>1701.972602739726</v>
      </c>
      <c r="AE448" s="718">
        <f t="shared" ref="AE448" si="155">SUM(S448:AD448)</f>
        <v>19658.657534246573</v>
      </c>
      <c r="AF448" s="718"/>
      <c r="AG448" s="718">
        <f t="shared" ref="AG448:AR448" si="156">AG11+AG13+AG23+AG36+AG38+AG75+AG88+AG134+AG156+AG166+AG198+AG225+AG229+AG269+AG279+AG312+AG314+AG375+AG383+AG398+AG404+AG410+AG419+AG438+AG447</f>
        <v>1739</v>
      </c>
      <c r="AH448" s="718">
        <f t="shared" si="156"/>
        <v>1723</v>
      </c>
      <c r="AI448" s="718">
        <f t="shared" si="156"/>
        <v>1722</v>
      </c>
      <c r="AJ448" s="718">
        <f t="shared" si="156"/>
        <v>1727</v>
      </c>
      <c r="AK448" s="718">
        <f t="shared" si="156"/>
        <v>1728</v>
      </c>
      <c r="AL448" s="718">
        <f t="shared" si="156"/>
        <v>1687</v>
      </c>
      <c r="AM448" s="718">
        <f t="shared" si="156"/>
        <v>1723</v>
      </c>
      <c r="AN448" s="718">
        <f t="shared" si="156"/>
        <v>1728</v>
      </c>
      <c r="AO448" s="718">
        <f t="shared" si="156"/>
        <v>1738</v>
      </c>
      <c r="AP448" s="718">
        <f t="shared" si="156"/>
        <v>1735</v>
      </c>
      <c r="AQ448" s="718">
        <f t="shared" si="156"/>
        <v>1732</v>
      </c>
      <c r="AR448" s="718">
        <f t="shared" si="156"/>
        <v>1730</v>
      </c>
      <c r="AS448" s="718">
        <f>SUM(AG448:AR448)</f>
        <v>20712</v>
      </c>
      <c r="AT448" s="718"/>
      <c r="AU448" s="719">
        <f t="shared" si="127"/>
        <v>22028</v>
      </c>
      <c r="AV448" s="719">
        <f t="shared" si="132"/>
        <v>19658.657534246573</v>
      </c>
      <c r="AW448" s="720">
        <f t="shared" si="128"/>
        <v>-0.1075604896383433</v>
      </c>
      <c r="AX448" s="716">
        <f t="shared" si="129"/>
        <v>20712</v>
      </c>
      <c r="AY448" s="721">
        <f t="shared" si="130"/>
        <v>5.3581607183422308E-2</v>
      </c>
      <c r="AZ448" s="716"/>
      <c r="BA448" s="716"/>
    </row>
    <row r="449" spans="1:51" ht="15.75" thickTop="1" x14ac:dyDescent="0.25">
      <c r="A449" s="685"/>
      <c r="B449" s="663"/>
      <c r="C449" s="663"/>
      <c r="D449" s="663"/>
      <c r="AE449" s="684"/>
      <c r="AU449" s="686"/>
      <c r="AV449" s="665"/>
    </row>
    <row r="450" spans="1:51" x14ac:dyDescent="0.25">
      <c r="A450" s="685"/>
      <c r="B450" s="663"/>
      <c r="C450" s="663"/>
      <c r="D450" s="663"/>
      <c r="AE450" s="684"/>
    </row>
    <row r="451" spans="1:51" x14ac:dyDescent="0.25">
      <c r="A451" s="685"/>
      <c r="B451" s="663"/>
      <c r="C451" s="663"/>
      <c r="D451" s="663"/>
    </row>
    <row r="452" spans="1:51" x14ac:dyDescent="0.25">
      <c r="A452" s="685" t="s">
        <v>1234</v>
      </c>
      <c r="B452" s="685"/>
      <c r="C452" s="665"/>
      <c r="D452" s="665"/>
      <c r="E452" s="691"/>
      <c r="F452" s="691"/>
      <c r="G452" s="691"/>
      <c r="H452" s="691"/>
      <c r="I452" s="691"/>
      <c r="J452" s="691"/>
      <c r="K452" s="691"/>
      <c r="L452" s="691"/>
      <c r="M452" s="691"/>
      <c r="N452" s="691"/>
      <c r="O452" s="691"/>
      <c r="P452" s="712"/>
      <c r="Q452" s="691"/>
      <c r="R452" s="691"/>
      <c r="S452" s="691"/>
      <c r="T452" s="691"/>
      <c r="U452" s="691"/>
      <c r="V452" s="691"/>
      <c r="W452" s="665"/>
      <c r="X452" s="665"/>
      <c r="Y452" s="665"/>
      <c r="Z452" s="665"/>
      <c r="AA452" s="665"/>
      <c r="AB452" s="665"/>
      <c r="AC452" s="665"/>
    </row>
    <row r="453" spans="1:51" x14ac:dyDescent="0.25">
      <c r="A453" s="685"/>
      <c r="B453" s="663"/>
      <c r="C453" s="663"/>
      <c r="D453" s="663"/>
      <c r="P453" s="711"/>
      <c r="U453" s="722"/>
      <c r="V453" s="722"/>
      <c r="W453" s="692"/>
      <c r="X453" s="692"/>
      <c r="Y453" s="692"/>
      <c r="Z453" s="692"/>
      <c r="AA453" s="692"/>
      <c r="AB453" s="692"/>
      <c r="AC453" s="684"/>
      <c r="AE453" s="692">
        <f>SUM(S453:AD453)</f>
        <v>0</v>
      </c>
      <c r="AF453" s="692"/>
      <c r="AG453" s="692"/>
      <c r="AH453" s="692"/>
      <c r="AI453" s="692"/>
      <c r="AJ453" s="692"/>
      <c r="AK453" s="692"/>
      <c r="AL453" s="692"/>
      <c r="AM453" s="692"/>
      <c r="AN453" s="692"/>
      <c r="AO453" s="692"/>
      <c r="AP453" s="692"/>
      <c r="AS453" s="686">
        <f>SUM(AG453:AR453)</f>
        <v>0</v>
      </c>
      <c r="AT453" s="665"/>
      <c r="AU453" s="723">
        <f t="shared" ref="AU453:AU464" si="157">Q453</f>
        <v>0</v>
      </c>
      <c r="AV453" s="665">
        <f t="shared" ref="AV453:AV463" si="158">AE453</f>
        <v>0</v>
      </c>
      <c r="AW453" s="687" t="e">
        <f t="shared" ref="AW453:AW463" si="159">(AV453/AU453)-1</f>
        <v>#DIV/0!</v>
      </c>
      <c r="AX453" s="663">
        <f t="shared" ref="AX453:AX464" si="160">AS453</f>
        <v>0</v>
      </c>
      <c r="AY453" s="713" t="e">
        <f t="shared" ref="AY453:AY464" si="161">(AX453/AV453)-1</f>
        <v>#DIV/0!</v>
      </c>
    </row>
    <row r="454" spans="1:51" x14ac:dyDescent="0.25">
      <c r="A454" s="694"/>
      <c r="B454" s="663"/>
      <c r="C454" s="663"/>
      <c r="D454" s="663"/>
      <c r="P454" s="711"/>
      <c r="U454" s="722"/>
      <c r="V454" s="722"/>
      <c r="W454" s="692"/>
      <c r="X454" s="692"/>
      <c r="Y454" s="692"/>
      <c r="Z454" s="692"/>
      <c r="AA454" s="692"/>
      <c r="AB454" s="692"/>
      <c r="AC454" s="684"/>
      <c r="AE454" s="692">
        <f t="shared" ref="AE454:AE463" si="162">SUM(S454:AD454)</f>
        <v>0</v>
      </c>
      <c r="AF454" s="692"/>
      <c r="AG454" s="692"/>
      <c r="AH454" s="692"/>
      <c r="AI454" s="692"/>
      <c r="AJ454" s="692"/>
      <c r="AK454" s="692"/>
      <c r="AL454" s="692"/>
      <c r="AM454" s="692"/>
      <c r="AN454" s="692"/>
      <c r="AO454" s="692"/>
      <c r="AP454" s="692"/>
      <c r="AS454" s="686">
        <f t="shared" ref="AS454:AS463" si="163">SUM(AG454:AR454)</f>
        <v>0</v>
      </c>
      <c r="AT454" s="665"/>
      <c r="AU454" s="723">
        <f t="shared" si="157"/>
        <v>0</v>
      </c>
      <c r="AV454" s="665">
        <f t="shared" si="158"/>
        <v>0</v>
      </c>
      <c r="AW454" s="687" t="e">
        <f t="shared" si="159"/>
        <v>#DIV/0!</v>
      </c>
      <c r="AX454" s="663">
        <f t="shared" si="160"/>
        <v>0</v>
      </c>
      <c r="AY454" s="713" t="e">
        <f t="shared" si="161"/>
        <v>#DIV/0!</v>
      </c>
    </row>
    <row r="455" spans="1:51" x14ac:dyDescent="0.25">
      <c r="A455" s="694"/>
      <c r="B455" s="663"/>
      <c r="C455" s="663"/>
      <c r="D455" s="663"/>
      <c r="P455" s="711"/>
      <c r="U455" s="722"/>
      <c r="V455" s="722"/>
      <c r="W455" s="692"/>
      <c r="X455" s="692"/>
      <c r="Y455" s="692"/>
      <c r="Z455" s="692"/>
      <c r="AA455" s="692"/>
      <c r="AB455" s="692"/>
      <c r="AC455" s="684"/>
      <c r="AE455" s="692">
        <f t="shared" si="162"/>
        <v>0</v>
      </c>
      <c r="AF455" s="692"/>
      <c r="AG455" s="692"/>
      <c r="AH455" s="692"/>
      <c r="AI455" s="692"/>
      <c r="AJ455" s="692"/>
      <c r="AK455" s="692"/>
      <c r="AL455" s="692"/>
      <c r="AM455" s="692"/>
      <c r="AN455" s="692"/>
      <c r="AO455" s="692"/>
      <c r="AP455" s="692"/>
      <c r="AS455" s="686">
        <f t="shared" si="163"/>
        <v>0</v>
      </c>
      <c r="AT455" s="665"/>
      <c r="AU455" s="723">
        <f t="shared" si="157"/>
        <v>0</v>
      </c>
      <c r="AV455" s="665">
        <f t="shared" si="158"/>
        <v>0</v>
      </c>
      <c r="AW455" s="687" t="e">
        <f t="shared" si="159"/>
        <v>#DIV/0!</v>
      </c>
      <c r="AX455" s="663">
        <f t="shared" si="160"/>
        <v>0</v>
      </c>
      <c r="AY455" s="713" t="e">
        <f t="shared" si="161"/>
        <v>#DIV/0!</v>
      </c>
    </row>
    <row r="456" spans="1:51" x14ac:dyDescent="0.25">
      <c r="A456" s="685"/>
      <c r="B456" s="663"/>
      <c r="C456" s="663"/>
      <c r="D456" s="663"/>
      <c r="P456" s="711"/>
      <c r="U456" s="722"/>
      <c r="V456" s="722"/>
      <c r="W456" s="692"/>
      <c r="X456" s="692"/>
      <c r="Y456" s="692"/>
      <c r="Z456" s="692"/>
      <c r="AA456" s="692"/>
      <c r="AB456" s="692"/>
      <c r="AC456" s="684"/>
      <c r="AE456" s="692">
        <f t="shared" si="162"/>
        <v>0</v>
      </c>
      <c r="AF456" s="692"/>
      <c r="AG456" s="692"/>
      <c r="AH456" s="692"/>
      <c r="AI456" s="692"/>
      <c r="AJ456" s="692"/>
      <c r="AK456" s="692"/>
      <c r="AL456" s="692"/>
      <c r="AM456" s="692"/>
      <c r="AN456" s="692"/>
      <c r="AO456" s="692"/>
      <c r="AP456" s="692"/>
      <c r="AS456" s="686">
        <f t="shared" si="163"/>
        <v>0</v>
      </c>
      <c r="AT456" s="665"/>
      <c r="AU456" s="723">
        <f t="shared" si="157"/>
        <v>0</v>
      </c>
      <c r="AV456" s="665">
        <f t="shared" si="158"/>
        <v>0</v>
      </c>
      <c r="AW456" s="687" t="e">
        <f t="shared" si="159"/>
        <v>#DIV/0!</v>
      </c>
      <c r="AX456" s="663">
        <f t="shared" si="160"/>
        <v>0</v>
      </c>
      <c r="AY456" s="713" t="e">
        <f t="shared" si="161"/>
        <v>#DIV/0!</v>
      </c>
    </row>
    <row r="457" spans="1:51" x14ac:dyDescent="0.25">
      <c r="A457" s="663"/>
      <c r="B457" s="663"/>
      <c r="C457" s="663"/>
      <c r="D457" s="663"/>
      <c r="P457" s="711"/>
      <c r="U457" s="722"/>
      <c r="V457" s="722"/>
      <c r="W457" s="692"/>
      <c r="X457" s="692"/>
      <c r="Y457" s="692"/>
      <c r="Z457" s="692"/>
      <c r="AA457" s="692"/>
      <c r="AB457" s="692"/>
      <c r="AC457" s="684"/>
      <c r="AE457" s="692">
        <f t="shared" si="162"/>
        <v>0</v>
      </c>
      <c r="AF457" s="692"/>
      <c r="AG457" s="692"/>
      <c r="AH457" s="692"/>
      <c r="AI457" s="692"/>
      <c r="AJ457" s="692"/>
      <c r="AK457" s="692"/>
      <c r="AL457" s="692"/>
      <c r="AM457" s="692"/>
      <c r="AN457" s="692"/>
      <c r="AO457" s="692"/>
      <c r="AP457" s="692"/>
      <c r="AS457" s="686">
        <f t="shared" si="163"/>
        <v>0</v>
      </c>
      <c r="AT457" s="665"/>
      <c r="AU457" s="723">
        <f t="shared" si="157"/>
        <v>0</v>
      </c>
      <c r="AV457" s="665">
        <f t="shared" si="158"/>
        <v>0</v>
      </c>
      <c r="AW457" s="687" t="e">
        <f t="shared" si="159"/>
        <v>#DIV/0!</v>
      </c>
      <c r="AX457" s="663">
        <f t="shared" si="160"/>
        <v>0</v>
      </c>
      <c r="AY457" s="713" t="e">
        <f t="shared" si="161"/>
        <v>#DIV/0!</v>
      </c>
    </row>
    <row r="458" spans="1:51" x14ac:dyDescent="0.25">
      <c r="A458" s="663"/>
      <c r="B458" s="663"/>
      <c r="C458" s="663"/>
      <c r="D458" s="663"/>
      <c r="P458" s="711"/>
      <c r="U458" s="722"/>
      <c r="V458" s="722"/>
      <c r="W458" s="692"/>
      <c r="X458" s="692"/>
      <c r="Y458" s="692"/>
      <c r="Z458" s="692"/>
      <c r="AA458" s="692"/>
      <c r="AB458" s="692"/>
      <c r="AC458" s="684"/>
      <c r="AE458" s="692">
        <f t="shared" si="162"/>
        <v>0</v>
      </c>
      <c r="AF458" s="692"/>
      <c r="AG458" s="692"/>
      <c r="AH458" s="692"/>
      <c r="AI458" s="692"/>
      <c r="AJ458" s="692"/>
      <c r="AK458" s="692"/>
      <c r="AL458" s="692"/>
      <c r="AM458" s="692"/>
      <c r="AN458" s="692"/>
      <c r="AO458" s="692"/>
      <c r="AP458" s="692"/>
      <c r="AS458" s="686">
        <f t="shared" si="163"/>
        <v>0</v>
      </c>
      <c r="AT458" s="724"/>
      <c r="AU458" s="723">
        <f t="shared" si="157"/>
        <v>0</v>
      </c>
      <c r="AV458" s="665">
        <f t="shared" si="158"/>
        <v>0</v>
      </c>
      <c r="AW458" s="687" t="e">
        <f t="shared" si="159"/>
        <v>#DIV/0!</v>
      </c>
      <c r="AX458" s="663">
        <f t="shared" si="160"/>
        <v>0</v>
      </c>
      <c r="AY458" s="713" t="e">
        <f t="shared" si="161"/>
        <v>#DIV/0!</v>
      </c>
    </row>
    <row r="459" spans="1:51" x14ac:dyDescent="0.25">
      <c r="A459" s="663"/>
      <c r="B459" s="663"/>
      <c r="C459" s="663"/>
      <c r="D459" s="663"/>
      <c r="P459" s="711"/>
      <c r="U459" s="722"/>
      <c r="V459" s="722"/>
      <c r="W459" s="692"/>
      <c r="X459" s="692"/>
      <c r="Y459" s="692"/>
      <c r="Z459" s="692"/>
      <c r="AA459" s="692"/>
      <c r="AB459" s="692"/>
      <c r="AC459" s="684"/>
      <c r="AE459" s="692">
        <f t="shared" si="162"/>
        <v>0</v>
      </c>
      <c r="AF459" s="692"/>
      <c r="AG459" s="692"/>
      <c r="AH459" s="692"/>
      <c r="AI459" s="692"/>
      <c r="AJ459" s="692"/>
      <c r="AK459" s="692"/>
      <c r="AL459" s="692"/>
      <c r="AM459" s="692"/>
      <c r="AN459" s="692"/>
      <c r="AO459" s="692"/>
      <c r="AP459" s="692"/>
      <c r="AS459" s="686">
        <f t="shared" si="163"/>
        <v>0</v>
      </c>
      <c r="AT459" s="724"/>
      <c r="AU459" s="723">
        <f t="shared" si="157"/>
        <v>0</v>
      </c>
      <c r="AV459" s="665">
        <f t="shared" si="158"/>
        <v>0</v>
      </c>
      <c r="AW459" s="687" t="e">
        <f t="shared" si="159"/>
        <v>#DIV/0!</v>
      </c>
      <c r="AX459" s="663">
        <f t="shared" si="160"/>
        <v>0</v>
      </c>
      <c r="AY459" s="713" t="e">
        <f t="shared" si="161"/>
        <v>#DIV/0!</v>
      </c>
    </row>
    <row r="460" spans="1:51" x14ac:dyDescent="0.25">
      <c r="A460" s="663"/>
      <c r="B460" s="663"/>
      <c r="C460" s="663"/>
      <c r="D460" s="663"/>
      <c r="P460" s="711"/>
      <c r="U460" s="722"/>
      <c r="V460" s="722"/>
      <c r="W460" s="692"/>
      <c r="X460" s="692"/>
      <c r="Y460" s="692"/>
      <c r="Z460" s="692"/>
      <c r="AA460" s="692"/>
      <c r="AB460" s="692"/>
      <c r="AC460" s="684"/>
      <c r="AE460" s="692">
        <f t="shared" si="162"/>
        <v>0</v>
      </c>
      <c r="AF460" s="692"/>
      <c r="AG460" s="692"/>
      <c r="AH460" s="692"/>
      <c r="AI460" s="692"/>
      <c r="AJ460" s="692"/>
      <c r="AK460" s="692"/>
      <c r="AL460" s="692"/>
      <c r="AM460" s="692"/>
      <c r="AN460" s="692"/>
      <c r="AO460" s="692"/>
      <c r="AP460" s="692"/>
      <c r="AS460" s="686">
        <f t="shared" si="163"/>
        <v>0</v>
      </c>
      <c r="AT460" s="724"/>
      <c r="AU460" s="723">
        <f t="shared" si="157"/>
        <v>0</v>
      </c>
      <c r="AV460" s="665">
        <f t="shared" si="158"/>
        <v>0</v>
      </c>
      <c r="AW460" s="687" t="e">
        <f t="shared" si="159"/>
        <v>#DIV/0!</v>
      </c>
      <c r="AX460" s="663">
        <f t="shared" si="160"/>
        <v>0</v>
      </c>
      <c r="AY460" s="713" t="e">
        <f t="shared" si="161"/>
        <v>#DIV/0!</v>
      </c>
    </row>
    <row r="461" spans="1:51" x14ac:dyDescent="0.25">
      <c r="A461" s="663"/>
      <c r="B461" s="663"/>
      <c r="C461" s="663"/>
      <c r="D461" s="663"/>
      <c r="P461" s="711"/>
      <c r="U461" s="722"/>
      <c r="V461" s="722"/>
      <c r="W461" s="692"/>
      <c r="X461" s="692"/>
      <c r="Y461" s="692"/>
      <c r="Z461" s="692"/>
      <c r="AA461" s="692"/>
      <c r="AB461" s="692"/>
      <c r="AC461" s="684"/>
      <c r="AE461" s="692">
        <f t="shared" si="162"/>
        <v>0</v>
      </c>
      <c r="AF461" s="692"/>
      <c r="AG461" s="692"/>
      <c r="AH461" s="692"/>
      <c r="AI461" s="692"/>
      <c r="AJ461" s="692"/>
      <c r="AK461" s="692"/>
      <c r="AL461" s="692"/>
      <c r="AM461" s="692"/>
      <c r="AN461" s="692"/>
      <c r="AO461" s="692"/>
      <c r="AP461" s="692"/>
      <c r="AS461" s="686">
        <f t="shared" si="163"/>
        <v>0</v>
      </c>
      <c r="AT461" s="724"/>
      <c r="AU461" s="723">
        <f t="shared" si="157"/>
        <v>0</v>
      </c>
      <c r="AV461" s="665">
        <f t="shared" si="158"/>
        <v>0</v>
      </c>
      <c r="AW461" s="687" t="e">
        <f t="shared" si="159"/>
        <v>#DIV/0!</v>
      </c>
      <c r="AX461" s="663">
        <f t="shared" si="160"/>
        <v>0</v>
      </c>
      <c r="AY461" s="713" t="e">
        <f t="shared" si="161"/>
        <v>#DIV/0!</v>
      </c>
    </row>
    <row r="462" spans="1:51" x14ac:dyDescent="0.25">
      <c r="A462" s="663"/>
      <c r="B462" s="663"/>
      <c r="C462" s="663"/>
      <c r="D462" s="663"/>
      <c r="P462" s="711"/>
      <c r="U462" s="722"/>
      <c r="V462" s="722"/>
      <c r="W462" s="692"/>
      <c r="X462" s="692"/>
      <c r="Y462" s="692"/>
      <c r="Z462" s="692"/>
      <c r="AA462" s="692"/>
      <c r="AB462" s="692"/>
      <c r="AC462" s="684"/>
      <c r="AE462" s="692">
        <f t="shared" si="162"/>
        <v>0</v>
      </c>
      <c r="AF462" s="692"/>
      <c r="AG462" s="692"/>
      <c r="AH462" s="692"/>
      <c r="AI462" s="692"/>
      <c r="AJ462" s="692"/>
      <c r="AK462" s="692"/>
      <c r="AL462" s="692"/>
      <c r="AM462" s="692"/>
      <c r="AN462" s="692"/>
      <c r="AO462" s="692"/>
      <c r="AP462" s="692"/>
      <c r="AS462" s="686">
        <f t="shared" si="163"/>
        <v>0</v>
      </c>
      <c r="AT462" s="724"/>
      <c r="AU462" s="723">
        <f t="shared" si="157"/>
        <v>0</v>
      </c>
      <c r="AV462" s="665">
        <f t="shared" si="158"/>
        <v>0</v>
      </c>
      <c r="AW462" s="687" t="e">
        <f t="shared" si="159"/>
        <v>#DIV/0!</v>
      </c>
      <c r="AX462" s="663">
        <f t="shared" si="160"/>
        <v>0</v>
      </c>
      <c r="AY462" s="713" t="e">
        <f t="shared" si="161"/>
        <v>#DIV/0!</v>
      </c>
    </row>
    <row r="463" spans="1:51" x14ac:dyDescent="0.25">
      <c r="A463" s="663"/>
      <c r="B463" s="663"/>
      <c r="C463" s="663"/>
      <c r="D463" s="663"/>
      <c r="P463" s="711"/>
      <c r="U463" s="722"/>
      <c r="V463" s="722"/>
      <c r="W463" s="692"/>
      <c r="X463" s="692"/>
      <c r="Y463" s="692"/>
      <c r="Z463" s="692"/>
      <c r="AA463" s="692"/>
      <c r="AB463" s="692"/>
      <c r="AC463" s="684"/>
      <c r="AE463" s="692">
        <f t="shared" si="162"/>
        <v>0</v>
      </c>
      <c r="AF463" s="692"/>
      <c r="AG463" s="692"/>
      <c r="AH463" s="692"/>
      <c r="AI463" s="692"/>
      <c r="AJ463" s="692"/>
      <c r="AK463" s="692"/>
      <c r="AL463" s="692"/>
      <c r="AM463" s="692"/>
      <c r="AN463" s="692"/>
      <c r="AO463" s="692"/>
      <c r="AP463" s="692"/>
      <c r="AS463" s="686">
        <f t="shared" si="163"/>
        <v>0</v>
      </c>
      <c r="AT463" s="724"/>
      <c r="AU463" s="723">
        <f t="shared" si="157"/>
        <v>0</v>
      </c>
      <c r="AV463" s="665">
        <f t="shared" si="158"/>
        <v>0</v>
      </c>
      <c r="AW463" s="687" t="e">
        <f t="shared" si="159"/>
        <v>#DIV/0!</v>
      </c>
      <c r="AX463" s="663">
        <f t="shared" si="160"/>
        <v>0</v>
      </c>
      <c r="AY463" s="713" t="e">
        <f t="shared" si="161"/>
        <v>#DIV/0!</v>
      </c>
    </row>
    <row r="464" spans="1:51" x14ac:dyDescent="0.25">
      <c r="A464" s="673" t="s">
        <v>1235</v>
      </c>
      <c r="B464" s="673"/>
      <c r="C464" s="673"/>
      <c r="D464" s="673"/>
      <c r="E464" s="666">
        <f t="shared" ref="E464:AS464" si="164">SUM(E453:E463)</f>
        <v>0</v>
      </c>
      <c r="F464" s="666">
        <f t="shared" si="164"/>
        <v>0</v>
      </c>
      <c r="G464" s="666">
        <f t="shared" si="164"/>
        <v>0</v>
      </c>
      <c r="H464" s="666">
        <f t="shared" si="164"/>
        <v>0</v>
      </c>
      <c r="I464" s="666">
        <f t="shared" si="164"/>
        <v>0</v>
      </c>
      <c r="J464" s="666">
        <f t="shared" si="164"/>
        <v>0</v>
      </c>
      <c r="K464" s="666">
        <f t="shared" si="164"/>
        <v>0</v>
      </c>
      <c r="L464" s="666">
        <f t="shared" si="164"/>
        <v>0</v>
      </c>
      <c r="M464" s="666">
        <f t="shared" si="164"/>
        <v>0</v>
      </c>
      <c r="N464" s="666">
        <f t="shared" si="164"/>
        <v>0</v>
      </c>
      <c r="O464" s="666">
        <f t="shared" si="164"/>
        <v>0</v>
      </c>
      <c r="P464" s="666">
        <f t="shared" si="164"/>
        <v>0</v>
      </c>
      <c r="Q464" s="666">
        <f t="shared" si="164"/>
        <v>0</v>
      </c>
      <c r="R464" s="725"/>
      <c r="S464" s="666">
        <f t="shared" si="164"/>
        <v>0</v>
      </c>
      <c r="T464" s="666">
        <f t="shared" si="164"/>
        <v>0</v>
      </c>
      <c r="U464" s="666">
        <f t="shared" si="164"/>
        <v>0</v>
      </c>
      <c r="V464" s="666">
        <f t="shared" si="164"/>
        <v>0</v>
      </c>
      <c r="W464" s="673">
        <f t="shared" si="164"/>
        <v>0</v>
      </c>
      <c r="X464" s="673">
        <f t="shared" si="164"/>
        <v>0</v>
      </c>
      <c r="Y464" s="673">
        <f t="shared" si="164"/>
        <v>0</v>
      </c>
      <c r="Z464" s="673">
        <f t="shared" si="164"/>
        <v>0</v>
      </c>
      <c r="AA464" s="673">
        <f t="shared" si="164"/>
        <v>0</v>
      </c>
      <c r="AB464" s="673">
        <f t="shared" si="164"/>
        <v>0</v>
      </c>
      <c r="AC464" s="673">
        <f t="shared" si="164"/>
        <v>0</v>
      </c>
      <c r="AD464" s="673">
        <f t="shared" si="164"/>
        <v>0</v>
      </c>
      <c r="AE464" s="673">
        <f t="shared" si="164"/>
        <v>0</v>
      </c>
      <c r="AF464" s="726"/>
      <c r="AG464" s="673">
        <f t="shared" si="164"/>
        <v>0</v>
      </c>
      <c r="AH464" s="673">
        <f t="shared" si="164"/>
        <v>0</v>
      </c>
      <c r="AI464" s="673">
        <f t="shared" si="164"/>
        <v>0</v>
      </c>
      <c r="AJ464" s="673">
        <f t="shared" si="164"/>
        <v>0</v>
      </c>
      <c r="AK464" s="673">
        <f t="shared" si="164"/>
        <v>0</v>
      </c>
      <c r="AL464" s="673">
        <f t="shared" si="164"/>
        <v>0</v>
      </c>
      <c r="AM464" s="673">
        <f t="shared" si="164"/>
        <v>0</v>
      </c>
      <c r="AN464" s="673">
        <f t="shared" si="164"/>
        <v>0</v>
      </c>
      <c r="AO464" s="673">
        <f t="shared" si="164"/>
        <v>0</v>
      </c>
      <c r="AP464" s="673">
        <f t="shared" si="164"/>
        <v>0</v>
      </c>
      <c r="AQ464" s="673">
        <f t="shared" si="164"/>
        <v>0</v>
      </c>
      <c r="AR464" s="673">
        <f t="shared" si="164"/>
        <v>0</v>
      </c>
      <c r="AS464" s="673">
        <f t="shared" si="164"/>
        <v>0</v>
      </c>
      <c r="AT464" s="726"/>
      <c r="AU464" s="727">
        <f t="shared" si="157"/>
        <v>0</v>
      </c>
      <c r="AV464" s="673">
        <f>SUM(AV453:AV463)</f>
        <v>0</v>
      </c>
      <c r="AW464" s="728" t="e">
        <f t="shared" ref="AW464" si="165">AV464/AT464</f>
        <v>#DIV/0!</v>
      </c>
      <c r="AX464" s="729">
        <f t="shared" si="160"/>
        <v>0</v>
      </c>
      <c r="AY464" s="729" t="e">
        <f t="shared" si="161"/>
        <v>#DIV/0!</v>
      </c>
    </row>
    <row r="465" spans="1:51" x14ac:dyDescent="0.25">
      <c r="A465" s="663"/>
      <c r="B465" s="663"/>
      <c r="C465" s="663"/>
      <c r="D465" s="663"/>
      <c r="P465" s="711"/>
      <c r="AD465" s="714"/>
      <c r="AR465" s="714"/>
      <c r="AT465" s="714"/>
      <c r="AU465" s="730"/>
    </row>
    <row r="466" spans="1:51" x14ac:dyDescent="0.25">
      <c r="A466" s="685" t="s">
        <v>1236</v>
      </c>
      <c r="B466" s="685"/>
      <c r="C466" s="663"/>
      <c r="D466" s="663"/>
      <c r="P466" s="711"/>
      <c r="AD466" s="714"/>
      <c r="AR466" s="714"/>
      <c r="AT466" s="714"/>
      <c r="AU466" s="730"/>
    </row>
    <row r="467" spans="1:51" x14ac:dyDescent="0.25">
      <c r="A467" s="685"/>
      <c r="B467" s="663"/>
      <c r="C467" s="663"/>
      <c r="D467" s="663"/>
      <c r="P467" s="711"/>
      <c r="U467" s="722"/>
      <c r="V467" s="722"/>
      <c r="W467" s="692"/>
      <c r="X467" s="692"/>
      <c r="Y467" s="692"/>
      <c r="Z467" s="692"/>
      <c r="AA467" s="692"/>
      <c r="AB467" s="692"/>
      <c r="AC467" s="684"/>
      <c r="AD467" s="714"/>
      <c r="AE467" s="692">
        <f>SUM(S467:AD467)</f>
        <v>0</v>
      </c>
      <c r="AF467" s="692"/>
      <c r="AG467" s="692"/>
      <c r="AH467" s="692"/>
      <c r="AI467" s="692"/>
      <c r="AJ467" s="692"/>
      <c r="AK467" s="692"/>
      <c r="AL467" s="692"/>
      <c r="AM467" s="692"/>
      <c r="AN467" s="692"/>
      <c r="AO467" s="692"/>
      <c r="AP467" s="692"/>
      <c r="AQ467" s="685"/>
      <c r="AR467" s="714"/>
      <c r="AS467" s="686">
        <f t="shared" ref="AS467:AS477" si="166">SUM(AG467:AR467)</f>
        <v>0</v>
      </c>
      <c r="AT467" s="724"/>
      <c r="AU467" s="723">
        <f t="shared" ref="AU467:AU480" si="167">Q467</f>
        <v>0</v>
      </c>
      <c r="AV467" s="665">
        <f t="shared" ref="AV467:AV477" si="168">AE467</f>
        <v>0</v>
      </c>
      <c r="AW467" s="687" t="e">
        <f t="shared" ref="AW467:AW477" si="169">(AV467/AU467)-1</f>
        <v>#DIV/0!</v>
      </c>
      <c r="AX467" s="663">
        <f t="shared" ref="AX467:AX478" si="170">AS467</f>
        <v>0</v>
      </c>
      <c r="AY467" s="713" t="e">
        <f t="shared" ref="AY467:AY478" si="171">(AX467/AV467)-1</f>
        <v>#DIV/0!</v>
      </c>
    </row>
    <row r="468" spans="1:51" x14ac:dyDescent="0.25">
      <c r="A468" s="685"/>
      <c r="B468" s="663"/>
      <c r="C468" s="663"/>
      <c r="D468" s="663"/>
      <c r="P468" s="711"/>
      <c r="U468" s="722"/>
      <c r="V468" s="722"/>
      <c r="W468" s="692"/>
      <c r="X468" s="692"/>
      <c r="Y468" s="692"/>
      <c r="Z468" s="692"/>
      <c r="AA468" s="692"/>
      <c r="AB468" s="692"/>
      <c r="AC468" s="684"/>
      <c r="AD468" s="714"/>
      <c r="AE468" s="692">
        <f t="shared" ref="AE468:AE477" si="172">SUM(S468:AD468)</f>
        <v>0</v>
      </c>
      <c r="AF468" s="692"/>
      <c r="AG468" s="692"/>
      <c r="AH468" s="692"/>
      <c r="AI468" s="692"/>
      <c r="AJ468" s="692"/>
      <c r="AK468" s="692"/>
      <c r="AL468" s="692"/>
      <c r="AM468" s="692"/>
      <c r="AN468" s="692"/>
      <c r="AO468" s="692"/>
      <c r="AP468" s="692"/>
      <c r="AQ468" s="685"/>
      <c r="AR468" s="714"/>
      <c r="AS468" s="686">
        <f t="shared" si="166"/>
        <v>0</v>
      </c>
      <c r="AT468" s="724"/>
      <c r="AU468" s="723">
        <f t="shared" si="167"/>
        <v>0</v>
      </c>
      <c r="AV468" s="665">
        <f t="shared" si="168"/>
        <v>0</v>
      </c>
      <c r="AW468" s="687" t="e">
        <f t="shared" si="169"/>
        <v>#DIV/0!</v>
      </c>
      <c r="AX468" s="663">
        <f t="shared" si="170"/>
        <v>0</v>
      </c>
      <c r="AY468" s="713" t="e">
        <f t="shared" si="171"/>
        <v>#DIV/0!</v>
      </c>
    </row>
    <row r="469" spans="1:51" x14ac:dyDescent="0.25">
      <c r="A469" s="685"/>
      <c r="B469" s="663"/>
      <c r="C469" s="663"/>
      <c r="D469" s="663"/>
      <c r="P469" s="711"/>
      <c r="U469" s="722"/>
      <c r="V469" s="722"/>
      <c r="W469" s="692"/>
      <c r="X469" s="692"/>
      <c r="Y469" s="692"/>
      <c r="Z469" s="692"/>
      <c r="AA469" s="692"/>
      <c r="AB469" s="692"/>
      <c r="AC469" s="684"/>
      <c r="AD469" s="714"/>
      <c r="AE469" s="692">
        <f t="shared" si="172"/>
        <v>0</v>
      </c>
      <c r="AF469" s="692"/>
      <c r="AG469" s="692"/>
      <c r="AH469" s="692"/>
      <c r="AI469" s="692"/>
      <c r="AJ469" s="692"/>
      <c r="AK469" s="692"/>
      <c r="AL469" s="692"/>
      <c r="AM469" s="692"/>
      <c r="AN469" s="692"/>
      <c r="AO469" s="692"/>
      <c r="AP469" s="692"/>
      <c r="AQ469" s="685"/>
      <c r="AR469" s="714"/>
      <c r="AS469" s="686">
        <f t="shared" si="166"/>
        <v>0</v>
      </c>
      <c r="AT469" s="724"/>
      <c r="AU469" s="723">
        <f t="shared" si="167"/>
        <v>0</v>
      </c>
      <c r="AV469" s="665">
        <f t="shared" si="168"/>
        <v>0</v>
      </c>
      <c r="AW469" s="687" t="e">
        <f t="shared" si="169"/>
        <v>#DIV/0!</v>
      </c>
      <c r="AX469" s="663">
        <f t="shared" si="170"/>
        <v>0</v>
      </c>
      <c r="AY469" s="713" t="e">
        <f t="shared" si="171"/>
        <v>#DIV/0!</v>
      </c>
    </row>
    <row r="470" spans="1:51" x14ac:dyDescent="0.25">
      <c r="A470" s="685"/>
      <c r="B470" s="663"/>
      <c r="C470" s="663"/>
      <c r="D470" s="663"/>
      <c r="P470" s="711"/>
      <c r="U470" s="722"/>
      <c r="V470" s="722"/>
      <c r="W470" s="692"/>
      <c r="X470" s="692"/>
      <c r="Y470" s="692"/>
      <c r="Z470" s="692"/>
      <c r="AA470" s="692"/>
      <c r="AB470" s="692"/>
      <c r="AC470" s="684"/>
      <c r="AD470" s="714"/>
      <c r="AE470" s="692">
        <f t="shared" si="172"/>
        <v>0</v>
      </c>
      <c r="AF470" s="692"/>
      <c r="AG470" s="692"/>
      <c r="AH470" s="692"/>
      <c r="AI470" s="692"/>
      <c r="AJ470" s="692"/>
      <c r="AK470" s="692"/>
      <c r="AL470" s="692"/>
      <c r="AM470" s="692"/>
      <c r="AN470" s="692"/>
      <c r="AO470" s="692"/>
      <c r="AP470" s="692"/>
      <c r="AQ470" s="685"/>
      <c r="AR470" s="714"/>
      <c r="AS470" s="686">
        <f t="shared" si="166"/>
        <v>0</v>
      </c>
      <c r="AT470" s="724"/>
      <c r="AU470" s="723">
        <f t="shared" si="167"/>
        <v>0</v>
      </c>
      <c r="AV470" s="665">
        <f t="shared" si="168"/>
        <v>0</v>
      </c>
      <c r="AW470" s="687" t="e">
        <f t="shared" si="169"/>
        <v>#DIV/0!</v>
      </c>
      <c r="AX470" s="663">
        <f t="shared" si="170"/>
        <v>0</v>
      </c>
      <c r="AY470" s="713" t="e">
        <f t="shared" si="171"/>
        <v>#DIV/0!</v>
      </c>
    </row>
    <row r="471" spans="1:51" x14ac:dyDescent="0.25">
      <c r="A471" s="685"/>
      <c r="B471" s="663"/>
      <c r="C471" s="663"/>
      <c r="D471" s="663"/>
      <c r="P471" s="711"/>
      <c r="U471" s="722"/>
      <c r="V471" s="722"/>
      <c r="W471" s="692"/>
      <c r="X471" s="692"/>
      <c r="Y471" s="692"/>
      <c r="Z471" s="692"/>
      <c r="AA471" s="692"/>
      <c r="AB471" s="692"/>
      <c r="AC471" s="684"/>
      <c r="AD471" s="714"/>
      <c r="AE471" s="692">
        <f t="shared" si="172"/>
        <v>0</v>
      </c>
      <c r="AF471" s="692"/>
      <c r="AG471" s="692"/>
      <c r="AH471" s="692"/>
      <c r="AI471" s="692"/>
      <c r="AJ471" s="692"/>
      <c r="AK471" s="692"/>
      <c r="AL471" s="692"/>
      <c r="AM471" s="692"/>
      <c r="AN471" s="692"/>
      <c r="AO471" s="692"/>
      <c r="AP471" s="692"/>
      <c r="AQ471" s="685"/>
      <c r="AR471" s="714"/>
      <c r="AS471" s="686">
        <f t="shared" si="166"/>
        <v>0</v>
      </c>
      <c r="AT471" s="724"/>
      <c r="AU471" s="723">
        <f t="shared" si="167"/>
        <v>0</v>
      </c>
      <c r="AV471" s="665">
        <f t="shared" si="168"/>
        <v>0</v>
      </c>
      <c r="AW471" s="687" t="e">
        <f t="shared" si="169"/>
        <v>#DIV/0!</v>
      </c>
      <c r="AX471" s="663">
        <f t="shared" si="170"/>
        <v>0</v>
      </c>
      <c r="AY471" s="713" t="e">
        <f t="shared" si="171"/>
        <v>#DIV/0!</v>
      </c>
    </row>
    <row r="472" spans="1:51" x14ac:dyDescent="0.25">
      <c r="A472" s="685"/>
      <c r="B472" s="663"/>
      <c r="C472" s="663"/>
      <c r="D472" s="663"/>
      <c r="P472" s="711"/>
      <c r="U472" s="722"/>
      <c r="V472" s="722"/>
      <c r="W472" s="692"/>
      <c r="X472" s="692"/>
      <c r="Y472" s="692"/>
      <c r="Z472" s="692"/>
      <c r="AA472" s="692"/>
      <c r="AB472" s="692"/>
      <c r="AC472" s="684"/>
      <c r="AD472" s="714"/>
      <c r="AE472" s="692">
        <f t="shared" si="172"/>
        <v>0</v>
      </c>
      <c r="AF472" s="692"/>
      <c r="AG472" s="692"/>
      <c r="AH472" s="692"/>
      <c r="AI472" s="692"/>
      <c r="AJ472" s="692"/>
      <c r="AK472" s="692"/>
      <c r="AL472" s="692"/>
      <c r="AM472" s="692"/>
      <c r="AN472" s="692"/>
      <c r="AO472" s="692"/>
      <c r="AP472" s="692"/>
      <c r="AQ472" s="685"/>
      <c r="AR472" s="714"/>
      <c r="AS472" s="686">
        <f t="shared" si="166"/>
        <v>0</v>
      </c>
      <c r="AT472" s="724"/>
      <c r="AU472" s="723">
        <f t="shared" si="167"/>
        <v>0</v>
      </c>
      <c r="AV472" s="665">
        <f t="shared" si="168"/>
        <v>0</v>
      </c>
      <c r="AW472" s="687" t="e">
        <f t="shared" si="169"/>
        <v>#DIV/0!</v>
      </c>
      <c r="AX472" s="663">
        <f t="shared" si="170"/>
        <v>0</v>
      </c>
      <c r="AY472" s="713" t="e">
        <f t="shared" si="171"/>
        <v>#DIV/0!</v>
      </c>
    </row>
    <row r="473" spans="1:51" x14ac:dyDescent="0.25">
      <c r="A473" s="663"/>
      <c r="B473" s="663"/>
      <c r="C473" s="663"/>
      <c r="D473" s="663"/>
      <c r="P473" s="711"/>
      <c r="U473" s="722"/>
      <c r="V473" s="722"/>
      <c r="W473" s="692"/>
      <c r="X473" s="692"/>
      <c r="Y473" s="692"/>
      <c r="Z473" s="692"/>
      <c r="AA473" s="692"/>
      <c r="AB473" s="692"/>
      <c r="AC473" s="684"/>
      <c r="AD473" s="714"/>
      <c r="AE473" s="692">
        <f t="shared" si="172"/>
        <v>0</v>
      </c>
      <c r="AF473" s="692"/>
      <c r="AG473" s="692"/>
      <c r="AH473" s="692"/>
      <c r="AI473" s="692"/>
      <c r="AJ473" s="692"/>
      <c r="AK473" s="692"/>
      <c r="AL473" s="692"/>
      <c r="AM473" s="692"/>
      <c r="AN473" s="692"/>
      <c r="AO473" s="692"/>
      <c r="AP473" s="692"/>
      <c r="AQ473" s="685"/>
      <c r="AR473" s="714"/>
      <c r="AS473" s="686">
        <f t="shared" si="166"/>
        <v>0</v>
      </c>
      <c r="AT473" s="724"/>
      <c r="AU473" s="723">
        <f t="shared" si="167"/>
        <v>0</v>
      </c>
      <c r="AV473" s="665">
        <f t="shared" si="168"/>
        <v>0</v>
      </c>
      <c r="AW473" s="687" t="e">
        <f t="shared" si="169"/>
        <v>#DIV/0!</v>
      </c>
      <c r="AX473" s="663">
        <f t="shared" si="170"/>
        <v>0</v>
      </c>
      <c r="AY473" s="713" t="e">
        <f t="shared" si="171"/>
        <v>#DIV/0!</v>
      </c>
    </row>
    <row r="474" spans="1:51" x14ac:dyDescent="0.25">
      <c r="A474" s="663"/>
      <c r="B474" s="663"/>
      <c r="C474" s="663"/>
      <c r="D474" s="663"/>
      <c r="P474" s="711"/>
      <c r="U474" s="722"/>
      <c r="V474" s="722"/>
      <c r="W474" s="692"/>
      <c r="X474" s="692"/>
      <c r="Y474" s="692"/>
      <c r="Z474" s="692"/>
      <c r="AA474" s="692"/>
      <c r="AB474" s="692"/>
      <c r="AC474" s="684"/>
      <c r="AD474" s="714"/>
      <c r="AE474" s="692">
        <f t="shared" si="172"/>
        <v>0</v>
      </c>
      <c r="AF474" s="692"/>
      <c r="AG474" s="692"/>
      <c r="AH474" s="692"/>
      <c r="AI474" s="692"/>
      <c r="AJ474" s="692"/>
      <c r="AK474" s="692"/>
      <c r="AL474" s="692"/>
      <c r="AM474" s="692"/>
      <c r="AN474" s="692"/>
      <c r="AO474" s="692"/>
      <c r="AP474" s="692"/>
      <c r="AQ474" s="685"/>
      <c r="AR474" s="714"/>
      <c r="AS474" s="686">
        <f t="shared" si="166"/>
        <v>0</v>
      </c>
      <c r="AT474" s="724"/>
      <c r="AU474" s="723">
        <f t="shared" si="167"/>
        <v>0</v>
      </c>
      <c r="AV474" s="665">
        <f t="shared" si="168"/>
        <v>0</v>
      </c>
      <c r="AW474" s="687" t="e">
        <f t="shared" si="169"/>
        <v>#DIV/0!</v>
      </c>
      <c r="AX474" s="663">
        <f t="shared" si="170"/>
        <v>0</v>
      </c>
      <c r="AY474" s="713" t="e">
        <f t="shared" si="171"/>
        <v>#DIV/0!</v>
      </c>
    </row>
    <row r="475" spans="1:51" x14ac:dyDescent="0.25">
      <c r="A475" s="663"/>
      <c r="B475" s="663"/>
      <c r="C475" s="663"/>
      <c r="D475" s="663"/>
      <c r="P475" s="711"/>
      <c r="U475" s="722"/>
      <c r="V475" s="722"/>
      <c r="W475" s="692"/>
      <c r="X475" s="692"/>
      <c r="Y475" s="692"/>
      <c r="Z475" s="692"/>
      <c r="AA475" s="692"/>
      <c r="AB475" s="692"/>
      <c r="AC475" s="684"/>
      <c r="AD475" s="714"/>
      <c r="AE475" s="692">
        <f t="shared" si="172"/>
        <v>0</v>
      </c>
      <c r="AF475" s="692"/>
      <c r="AG475" s="692"/>
      <c r="AH475" s="692"/>
      <c r="AI475" s="692"/>
      <c r="AJ475" s="692"/>
      <c r="AK475" s="692"/>
      <c r="AL475" s="692"/>
      <c r="AM475" s="692"/>
      <c r="AN475" s="692"/>
      <c r="AO475" s="692"/>
      <c r="AP475" s="692"/>
      <c r="AQ475" s="685"/>
      <c r="AR475" s="714"/>
      <c r="AS475" s="686">
        <f t="shared" si="166"/>
        <v>0</v>
      </c>
      <c r="AT475" s="724"/>
      <c r="AU475" s="723">
        <f t="shared" si="167"/>
        <v>0</v>
      </c>
      <c r="AV475" s="665">
        <f t="shared" si="168"/>
        <v>0</v>
      </c>
      <c r="AW475" s="687" t="e">
        <f t="shared" si="169"/>
        <v>#DIV/0!</v>
      </c>
      <c r="AX475" s="663">
        <f t="shared" si="170"/>
        <v>0</v>
      </c>
      <c r="AY475" s="713" t="e">
        <f t="shared" si="171"/>
        <v>#DIV/0!</v>
      </c>
    </row>
    <row r="476" spans="1:51" x14ac:dyDescent="0.25">
      <c r="A476" s="663"/>
      <c r="B476" s="663"/>
      <c r="C476" s="663"/>
      <c r="D476" s="663"/>
      <c r="P476" s="711"/>
      <c r="U476" s="722"/>
      <c r="V476" s="722"/>
      <c r="W476" s="692"/>
      <c r="X476" s="692"/>
      <c r="Y476" s="692"/>
      <c r="Z476" s="692"/>
      <c r="AA476" s="692"/>
      <c r="AB476" s="692"/>
      <c r="AC476" s="684"/>
      <c r="AD476" s="714"/>
      <c r="AE476" s="692">
        <f t="shared" si="172"/>
        <v>0</v>
      </c>
      <c r="AF476" s="692"/>
      <c r="AG476" s="692"/>
      <c r="AH476" s="692"/>
      <c r="AI476" s="692"/>
      <c r="AJ476" s="692"/>
      <c r="AK476" s="692"/>
      <c r="AL476" s="692"/>
      <c r="AM476" s="692"/>
      <c r="AN476" s="692"/>
      <c r="AO476" s="692"/>
      <c r="AP476" s="692"/>
      <c r="AQ476" s="685"/>
      <c r="AR476" s="714"/>
      <c r="AS476" s="686">
        <f t="shared" si="166"/>
        <v>0</v>
      </c>
      <c r="AT476" s="724"/>
      <c r="AU476" s="723">
        <f t="shared" si="167"/>
        <v>0</v>
      </c>
      <c r="AV476" s="665">
        <f t="shared" si="168"/>
        <v>0</v>
      </c>
      <c r="AW476" s="687" t="e">
        <f t="shared" si="169"/>
        <v>#DIV/0!</v>
      </c>
      <c r="AX476" s="663">
        <f t="shared" si="170"/>
        <v>0</v>
      </c>
      <c r="AY476" s="713" t="e">
        <f t="shared" si="171"/>
        <v>#DIV/0!</v>
      </c>
    </row>
    <row r="477" spans="1:51" x14ac:dyDescent="0.25">
      <c r="A477" s="663"/>
      <c r="B477" s="663"/>
      <c r="C477" s="663"/>
      <c r="D477" s="663"/>
      <c r="P477" s="711"/>
      <c r="U477" s="722"/>
      <c r="V477" s="722"/>
      <c r="W477" s="692"/>
      <c r="X477" s="692"/>
      <c r="Y477" s="692"/>
      <c r="Z477" s="692"/>
      <c r="AA477" s="692"/>
      <c r="AB477" s="692"/>
      <c r="AC477" s="684"/>
      <c r="AD477" s="714"/>
      <c r="AE477" s="692">
        <f t="shared" si="172"/>
        <v>0</v>
      </c>
      <c r="AF477" s="692"/>
      <c r="AG477" s="692"/>
      <c r="AH477" s="692"/>
      <c r="AI477" s="692"/>
      <c r="AJ477" s="692"/>
      <c r="AK477" s="692"/>
      <c r="AL477" s="692"/>
      <c r="AM477" s="692"/>
      <c r="AN477" s="692"/>
      <c r="AO477" s="692"/>
      <c r="AP477" s="692"/>
      <c r="AQ477" s="685"/>
      <c r="AR477" s="714"/>
      <c r="AS477" s="686">
        <f t="shared" si="166"/>
        <v>0</v>
      </c>
      <c r="AT477" s="714"/>
      <c r="AU477" s="723">
        <f t="shared" si="167"/>
        <v>0</v>
      </c>
      <c r="AV477" s="665">
        <f t="shared" si="168"/>
        <v>0</v>
      </c>
      <c r="AW477" s="687" t="e">
        <f t="shared" si="169"/>
        <v>#DIV/0!</v>
      </c>
      <c r="AX477" s="663">
        <f t="shared" si="170"/>
        <v>0</v>
      </c>
      <c r="AY477" s="713" t="e">
        <f t="shared" si="171"/>
        <v>#DIV/0!</v>
      </c>
    </row>
    <row r="478" spans="1:51" x14ac:dyDescent="0.25">
      <c r="A478" s="673" t="s">
        <v>1237</v>
      </c>
      <c r="B478" s="673"/>
      <c r="C478" s="673"/>
      <c r="D478" s="673"/>
      <c r="E478" s="666">
        <f t="shared" ref="E478:AS478" si="173">SUM(E467:E477)</f>
        <v>0</v>
      </c>
      <c r="F478" s="666">
        <f t="shared" si="173"/>
        <v>0</v>
      </c>
      <c r="G478" s="666">
        <f t="shared" si="173"/>
        <v>0</v>
      </c>
      <c r="H478" s="666">
        <f t="shared" si="173"/>
        <v>0</v>
      </c>
      <c r="I478" s="666">
        <f t="shared" si="173"/>
        <v>0</v>
      </c>
      <c r="J478" s="666">
        <f t="shared" si="173"/>
        <v>0</v>
      </c>
      <c r="K478" s="666">
        <f t="shared" si="173"/>
        <v>0</v>
      </c>
      <c r="L478" s="666">
        <f t="shared" si="173"/>
        <v>0</v>
      </c>
      <c r="M478" s="666">
        <f t="shared" si="173"/>
        <v>0</v>
      </c>
      <c r="N478" s="666">
        <f t="shared" si="173"/>
        <v>0</v>
      </c>
      <c r="O478" s="666">
        <f t="shared" si="173"/>
        <v>0</v>
      </c>
      <c r="P478" s="666">
        <f t="shared" si="173"/>
        <v>0</v>
      </c>
      <c r="Q478" s="666">
        <f t="shared" si="173"/>
        <v>0</v>
      </c>
      <c r="R478" s="725"/>
      <c r="S478" s="666">
        <f t="shared" si="173"/>
        <v>0</v>
      </c>
      <c r="T478" s="666">
        <f t="shared" si="173"/>
        <v>0</v>
      </c>
      <c r="U478" s="666">
        <f t="shared" si="173"/>
        <v>0</v>
      </c>
      <c r="V478" s="666">
        <f t="shared" si="173"/>
        <v>0</v>
      </c>
      <c r="W478" s="673">
        <f t="shared" si="173"/>
        <v>0</v>
      </c>
      <c r="X478" s="673">
        <f t="shared" si="173"/>
        <v>0</v>
      </c>
      <c r="Y478" s="673">
        <f t="shared" si="173"/>
        <v>0</v>
      </c>
      <c r="Z478" s="673">
        <f t="shared" si="173"/>
        <v>0</v>
      </c>
      <c r="AA478" s="673">
        <f t="shared" si="173"/>
        <v>0</v>
      </c>
      <c r="AB478" s="673">
        <f t="shared" si="173"/>
        <v>0</v>
      </c>
      <c r="AC478" s="673">
        <f t="shared" si="173"/>
        <v>0</v>
      </c>
      <c r="AD478" s="673">
        <f t="shared" si="173"/>
        <v>0</v>
      </c>
      <c r="AE478" s="673">
        <f t="shared" si="173"/>
        <v>0</v>
      </c>
      <c r="AF478" s="726"/>
      <c r="AG478" s="673">
        <f t="shared" si="173"/>
        <v>0</v>
      </c>
      <c r="AH478" s="673">
        <f t="shared" si="173"/>
        <v>0</v>
      </c>
      <c r="AI478" s="673">
        <f t="shared" si="173"/>
        <v>0</v>
      </c>
      <c r="AJ478" s="673">
        <f t="shared" si="173"/>
        <v>0</v>
      </c>
      <c r="AK478" s="673">
        <f t="shared" si="173"/>
        <v>0</v>
      </c>
      <c r="AL478" s="673">
        <f t="shared" si="173"/>
        <v>0</v>
      </c>
      <c r="AM478" s="673">
        <f t="shared" si="173"/>
        <v>0</v>
      </c>
      <c r="AN478" s="673">
        <f t="shared" si="173"/>
        <v>0</v>
      </c>
      <c r="AO478" s="673">
        <f t="shared" si="173"/>
        <v>0</v>
      </c>
      <c r="AP478" s="673">
        <f t="shared" si="173"/>
        <v>0</v>
      </c>
      <c r="AQ478" s="673">
        <f t="shared" si="173"/>
        <v>0</v>
      </c>
      <c r="AR478" s="673">
        <f t="shared" si="173"/>
        <v>0</v>
      </c>
      <c r="AS478" s="673">
        <f t="shared" si="173"/>
        <v>0</v>
      </c>
      <c r="AT478" s="726"/>
      <c r="AU478" s="727">
        <f t="shared" si="167"/>
        <v>0</v>
      </c>
      <c r="AV478" s="673">
        <f>SUM(AV467:AV477)</f>
        <v>0</v>
      </c>
      <c r="AW478" s="728" t="e">
        <f t="shared" ref="AW478" si="174">AV478/AT478</f>
        <v>#DIV/0!</v>
      </c>
      <c r="AX478" s="729">
        <f t="shared" si="170"/>
        <v>0</v>
      </c>
      <c r="AY478" s="729" t="e">
        <f t="shared" si="171"/>
        <v>#DIV/0!</v>
      </c>
    </row>
    <row r="479" spans="1:51" x14ac:dyDescent="0.25">
      <c r="A479" s="663"/>
      <c r="B479" s="663"/>
      <c r="C479" s="663"/>
      <c r="D479" s="663"/>
      <c r="P479" s="711"/>
      <c r="AD479" s="714"/>
      <c r="AT479" s="714"/>
      <c r="AU479" s="730"/>
    </row>
    <row r="480" spans="1:51" x14ac:dyDescent="0.25">
      <c r="A480" s="673" t="s">
        <v>1238</v>
      </c>
      <c r="B480" s="673"/>
      <c r="C480" s="731"/>
      <c r="D480" s="731"/>
      <c r="E480" s="732">
        <f>E448+E464-E478</f>
        <v>1822</v>
      </c>
      <c r="F480" s="732">
        <f t="shared" ref="F480:AR480" si="175">F448+F464-F478</f>
        <v>2043</v>
      </c>
      <c r="G480" s="732">
        <f t="shared" si="175"/>
        <v>1844</v>
      </c>
      <c r="H480" s="732">
        <f t="shared" si="175"/>
        <v>1971</v>
      </c>
      <c r="I480" s="732">
        <f t="shared" si="175"/>
        <v>1884</v>
      </c>
      <c r="J480" s="732">
        <f t="shared" si="175"/>
        <v>1680</v>
      </c>
      <c r="K480" s="732">
        <f t="shared" si="175"/>
        <v>1835</v>
      </c>
      <c r="L480" s="732">
        <f t="shared" si="175"/>
        <v>1576</v>
      </c>
      <c r="M480" s="732">
        <f t="shared" si="175"/>
        <v>1811</v>
      </c>
      <c r="N480" s="732">
        <f t="shared" si="175"/>
        <v>1884</v>
      </c>
      <c r="O480" s="732">
        <f t="shared" si="175"/>
        <v>1970</v>
      </c>
      <c r="P480" s="732">
        <f t="shared" si="175"/>
        <v>1708</v>
      </c>
      <c r="Q480" s="732">
        <f t="shared" si="175"/>
        <v>22028</v>
      </c>
      <c r="R480" s="669">
        <f t="shared" ref="R480:AV480" si="176">R450+R464-R478</f>
        <v>0</v>
      </c>
      <c r="S480" s="732">
        <f t="shared" si="175"/>
        <v>1680</v>
      </c>
      <c r="T480" s="732">
        <f t="shared" si="175"/>
        <v>1864</v>
      </c>
      <c r="U480" s="732">
        <f t="shared" si="175"/>
        <v>1503</v>
      </c>
      <c r="V480" s="732">
        <f t="shared" si="175"/>
        <v>1771</v>
      </c>
      <c r="W480" s="731">
        <f t="shared" si="175"/>
        <v>1540.5479452054792</v>
      </c>
      <c r="X480" s="731">
        <f t="shared" si="175"/>
        <v>1510.0082191780821</v>
      </c>
      <c r="Y480" s="731">
        <f t="shared" si="175"/>
        <v>1624.2767123287672</v>
      </c>
      <c r="Z480" s="731">
        <f t="shared" si="175"/>
        <v>1484.0712328767122</v>
      </c>
      <c r="AA480" s="731">
        <f t="shared" si="175"/>
        <v>1628.3780821917808</v>
      </c>
      <c r="AB480" s="731">
        <f t="shared" si="175"/>
        <v>1659.2191780821918</v>
      </c>
      <c r="AC480" s="731">
        <f t="shared" si="175"/>
        <v>1692.1835616438357</v>
      </c>
      <c r="AD480" s="731">
        <f t="shared" si="175"/>
        <v>1701.972602739726</v>
      </c>
      <c r="AE480" s="731">
        <f t="shared" si="175"/>
        <v>19658.657534246573</v>
      </c>
      <c r="AF480" s="731">
        <f t="shared" si="176"/>
        <v>0</v>
      </c>
      <c r="AG480" s="731">
        <f t="shared" si="175"/>
        <v>1739</v>
      </c>
      <c r="AH480" s="731">
        <f t="shared" si="175"/>
        <v>1723</v>
      </c>
      <c r="AI480" s="731">
        <f t="shared" si="175"/>
        <v>1722</v>
      </c>
      <c r="AJ480" s="731">
        <f t="shared" si="175"/>
        <v>1727</v>
      </c>
      <c r="AK480" s="731">
        <f t="shared" si="175"/>
        <v>1728</v>
      </c>
      <c r="AL480" s="731">
        <f t="shared" si="175"/>
        <v>1687</v>
      </c>
      <c r="AM480" s="731">
        <f t="shared" si="175"/>
        <v>1723</v>
      </c>
      <c r="AN480" s="731">
        <f t="shared" si="175"/>
        <v>1728</v>
      </c>
      <c r="AO480" s="731">
        <f t="shared" si="175"/>
        <v>1738</v>
      </c>
      <c r="AP480" s="731">
        <f t="shared" si="175"/>
        <v>1735</v>
      </c>
      <c r="AQ480" s="731">
        <f t="shared" si="175"/>
        <v>1732</v>
      </c>
      <c r="AR480" s="731">
        <f t="shared" si="175"/>
        <v>1730</v>
      </c>
      <c r="AS480" s="731">
        <f t="shared" si="176"/>
        <v>0</v>
      </c>
      <c r="AT480" s="733"/>
      <c r="AU480" s="727">
        <f t="shared" si="167"/>
        <v>22028</v>
      </c>
      <c r="AV480" s="731">
        <f t="shared" si="176"/>
        <v>0</v>
      </c>
      <c r="AW480" s="728" t="e">
        <f t="shared" ref="AW480" si="177">AV480/AT480</f>
        <v>#DIV/0!</v>
      </c>
      <c r="AX480" s="729">
        <f>AS480</f>
        <v>0</v>
      </c>
      <c r="AY480" s="729" t="e">
        <f t="shared" ref="AY480" si="178">(AX480/AV480)-1</f>
        <v>#DIV/0!</v>
      </c>
    </row>
    <row r="481" spans="1:46" x14ac:dyDescent="0.25">
      <c r="A481" s="663"/>
      <c r="B481" s="663"/>
      <c r="C481" s="663"/>
      <c r="D481" s="663"/>
      <c r="P481" s="711"/>
      <c r="AT481" s="714"/>
    </row>
    <row r="482" spans="1:46" x14ac:dyDescent="0.25">
      <c r="A482" s="663"/>
      <c r="B482" s="663"/>
      <c r="C482" s="663"/>
      <c r="D482" s="663"/>
      <c r="AT482" s="714"/>
    </row>
    <row r="483" spans="1:46" x14ac:dyDescent="0.25">
      <c r="A483" s="685"/>
      <c r="B483" s="663"/>
      <c r="C483" s="663"/>
      <c r="D483" s="663"/>
      <c r="AT483" s="714"/>
    </row>
    <row r="484" spans="1:46" x14ac:dyDescent="0.25">
      <c r="A484" s="685"/>
      <c r="B484" s="663"/>
      <c r="C484" s="663"/>
      <c r="D484" s="663"/>
      <c r="AT484" s="714"/>
    </row>
    <row r="485" spans="1:46" x14ac:dyDescent="0.25">
      <c r="D485" s="663"/>
      <c r="AT485" s="714"/>
    </row>
    <row r="486" spans="1:46" x14ac:dyDescent="0.25">
      <c r="D486" s="663"/>
      <c r="AT486" s="714"/>
    </row>
    <row r="487" spans="1:46" x14ac:dyDescent="0.25">
      <c r="D487" s="663"/>
    </row>
    <row r="488" spans="1:46" x14ac:dyDescent="0.25">
      <c r="D488" s="663"/>
    </row>
    <row r="489" spans="1:46" x14ac:dyDescent="0.25">
      <c r="D489" s="663"/>
    </row>
    <row r="490" spans="1:46" x14ac:dyDescent="0.25">
      <c r="D490" s="663"/>
    </row>
    <row r="491" spans="1:46" x14ac:dyDescent="0.25">
      <c r="D491" s="663"/>
    </row>
    <row r="492" spans="1:46" x14ac:dyDescent="0.25">
      <c r="D492" s="663"/>
    </row>
    <row r="493" spans="1:46" x14ac:dyDescent="0.25">
      <c r="D493" s="663"/>
    </row>
    <row r="494" spans="1:46" x14ac:dyDescent="0.25">
      <c r="D494" s="663"/>
    </row>
    <row r="495" spans="1:46" x14ac:dyDescent="0.25">
      <c r="D495" s="663"/>
    </row>
    <row r="496" spans="1:46" x14ac:dyDescent="0.25">
      <c r="D496" s="663"/>
    </row>
    <row r="497" spans="4:4" x14ac:dyDescent="0.25">
      <c r="D497" s="663"/>
    </row>
    <row r="498" spans="4:4" x14ac:dyDescent="0.25">
      <c r="D498" s="663"/>
    </row>
    <row r="499" spans="4:4" x14ac:dyDescent="0.25">
      <c r="D499" s="663"/>
    </row>
    <row r="500" spans="4:4" x14ac:dyDescent="0.25">
      <c r="D500" s="663"/>
    </row>
    <row r="501" spans="4:4" x14ac:dyDescent="0.25">
      <c r="D501" s="663"/>
    </row>
    <row r="502" spans="4:4" x14ac:dyDescent="0.25">
      <c r="D502" s="663"/>
    </row>
    <row r="503" spans="4:4" x14ac:dyDescent="0.25">
      <c r="D503" s="663"/>
    </row>
    <row r="504" spans="4:4" x14ac:dyDescent="0.25">
      <c r="D504" s="663"/>
    </row>
    <row r="505" spans="4:4" x14ac:dyDescent="0.25">
      <c r="D505" s="663"/>
    </row>
    <row r="506" spans="4:4" x14ac:dyDescent="0.25">
      <c r="D506" s="663"/>
    </row>
    <row r="507" spans="4:4" x14ac:dyDescent="0.25">
      <c r="D507" s="663"/>
    </row>
    <row r="508" spans="4:4" x14ac:dyDescent="0.25">
      <c r="D508" s="663"/>
    </row>
    <row r="509" spans="4:4" x14ac:dyDescent="0.25">
      <c r="D509" s="663"/>
    </row>
    <row r="510" spans="4:4" x14ac:dyDescent="0.25">
      <c r="D510" s="663"/>
    </row>
    <row r="511" spans="4:4" x14ac:dyDescent="0.25">
      <c r="D511" s="663"/>
    </row>
    <row r="512" spans="4:4" x14ac:dyDescent="0.25">
      <c r="D512" s="663"/>
    </row>
    <row r="513" spans="4:4" x14ac:dyDescent="0.25">
      <c r="D513" s="663"/>
    </row>
    <row r="514" spans="4:4" x14ac:dyDescent="0.25">
      <c r="D514" s="663"/>
    </row>
    <row r="515" spans="4:4" x14ac:dyDescent="0.25">
      <c r="D515" s="663"/>
    </row>
    <row r="516" spans="4:4" x14ac:dyDescent="0.25">
      <c r="D516" s="663"/>
    </row>
    <row r="517" spans="4:4" x14ac:dyDescent="0.25">
      <c r="D517" s="663"/>
    </row>
    <row r="518" spans="4:4" x14ac:dyDescent="0.25">
      <c r="D518" s="663"/>
    </row>
    <row r="519" spans="4:4" x14ac:dyDescent="0.25">
      <c r="D519" s="663"/>
    </row>
    <row r="520" spans="4:4" x14ac:dyDescent="0.25">
      <c r="D520" s="663"/>
    </row>
    <row r="521" spans="4:4" x14ac:dyDescent="0.25">
      <c r="D521" s="663"/>
    </row>
    <row r="522" spans="4:4" x14ac:dyDescent="0.25">
      <c r="D522" s="663"/>
    </row>
    <row r="523" spans="4:4" x14ac:dyDescent="0.25">
      <c r="D523" s="663"/>
    </row>
    <row r="524" spans="4:4" x14ac:dyDescent="0.25">
      <c r="D524" s="663"/>
    </row>
    <row r="525" spans="4:4" x14ac:dyDescent="0.25">
      <c r="D525" s="663"/>
    </row>
    <row r="526" spans="4:4" x14ac:dyDescent="0.25">
      <c r="D526" s="663"/>
    </row>
    <row r="527" spans="4:4" x14ac:dyDescent="0.25">
      <c r="D527" s="663"/>
    </row>
    <row r="528" spans="4:4" x14ac:dyDescent="0.25">
      <c r="D528" s="663"/>
    </row>
    <row r="529" spans="4:4" x14ac:dyDescent="0.25">
      <c r="D529" s="663"/>
    </row>
    <row r="530" spans="4:4" x14ac:dyDescent="0.25">
      <c r="D530" s="663"/>
    </row>
    <row r="531" spans="4:4" x14ac:dyDescent="0.25">
      <c r="D531" s="663"/>
    </row>
    <row r="532" spans="4:4" x14ac:dyDescent="0.25">
      <c r="D532" s="663"/>
    </row>
    <row r="533" spans="4:4" x14ac:dyDescent="0.25">
      <c r="D533" s="663"/>
    </row>
    <row r="534" spans="4:4" x14ac:dyDescent="0.25">
      <c r="D534" s="663"/>
    </row>
    <row r="535" spans="4:4" x14ac:dyDescent="0.25">
      <c r="D535" s="663"/>
    </row>
    <row r="536" spans="4:4" x14ac:dyDescent="0.25">
      <c r="D536" s="663"/>
    </row>
    <row r="537" spans="4:4" x14ac:dyDescent="0.25">
      <c r="D537" s="663"/>
    </row>
    <row r="538" spans="4:4" x14ac:dyDescent="0.25">
      <c r="D538" s="663"/>
    </row>
    <row r="539" spans="4:4" x14ac:dyDescent="0.25">
      <c r="D539" s="663"/>
    </row>
    <row r="540" spans="4:4" x14ac:dyDescent="0.25">
      <c r="D540" s="663"/>
    </row>
    <row r="541" spans="4:4" x14ac:dyDescent="0.25">
      <c r="D541" s="663"/>
    </row>
    <row r="542" spans="4:4" x14ac:dyDescent="0.25">
      <c r="D542" s="663"/>
    </row>
    <row r="543" spans="4:4" x14ac:dyDescent="0.25">
      <c r="D543" s="663"/>
    </row>
    <row r="544" spans="4:4" x14ac:dyDescent="0.25">
      <c r="D544" s="663"/>
    </row>
    <row r="545" spans="4:4" x14ac:dyDescent="0.25">
      <c r="D545" s="663"/>
    </row>
    <row r="546" spans="4:4" x14ac:dyDescent="0.25">
      <c r="D546" s="663"/>
    </row>
    <row r="547" spans="4:4" x14ac:dyDescent="0.25">
      <c r="D547" s="663"/>
    </row>
    <row r="548" spans="4:4" x14ac:dyDescent="0.25">
      <c r="D548" s="663"/>
    </row>
    <row r="549" spans="4:4" x14ac:dyDescent="0.25">
      <c r="D549" s="663"/>
    </row>
    <row r="550" spans="4:4" x14ac:dyDescent="0.25">
      <c r="D550" s="663"/>
    </row>
    <row r="551" spans="4:4" x14ac:dyDescent="0.25">
      <c r="D551" s="663"/>
    </row>
    <row r="552" spans="4:4" x14ac:dyDescent="0.25">
      <c r="D552" s="663"/>
    </row>
    <row r="553" spans="4:4" x14ac:dyDescent="0.25">
      <c r="D553" s="663"/>
    </row>
    <row r="554" spans="4:4" x14ac:dyDescent="0.25">
      <c r="D554" s="663"/>
    </row>
    <row r="555" spans="4:4" x14ac:dyDescent="0.25">
      <c r="D555" s="663"/>
    </row>
    <row r="556" spans="4:4" x14ac:dyDescent="0.25">
      <c r="D556" s="663"/>
    </row>
    <row r="557" spans="4:4" x14ac:dyDescent="0.25">
      <c r="D557" s="663"/>
    </row>
    <row r="558" spans="4:4" x14ac:dyDescent="0.25">
      <c r="D558" s="663"/>
    </row>
    <row r="559" spans="4:4" x14ac:dyDescent="0.25">
      <c r="D559" s="663"/>
    </row>
    <row r="560" spans="4:4" x14ac:dyDescent="0.25">
      <c r="D560" s="663"/>
    </row>
    <row r="561" spans="4:4" x14ac:dyDescent="0.25">
      <c r="D561" s="663"/>
    </row>
    <row r="562" spans="4:4" x14ac:dyDescent="0.25">
      <c r="D562" s="663"/>
    </row>
    <row r="563" spans="4:4" x14ac:dyDescent="0.25">
      <c r="D563" s="663"/>
    </row>
    <row r="564" spans="4:4" x14ac:dyDescent="0.25">
      <c r="D564" s="663"/>
    </row>
    <row r="565" spans="4:4" x14ac:dyDescent="0.25">
      <c r="D565" s="663"/>
    </row>
    <row r="566" spans="4:4" x14ac:dyDescent="0.25">
      <c r="D566" s="663"/>
    </row>
    <row r="567" spans="4:4" x14ac:dyDescent="0.25">
      <c r="D567" s="663"/>
    </row>
    <row r="568" spans="4:4" x14ac:dyDescent="0.25">
      <c r="D568" s="663"/>
    </row>
    <row r="569" spans="4:4" x14ac:dyDescent="0.25">
      <c r="D569" s="663"/>
    </row>
    <row r="570" spans="4:4" x14ac:dyDescent="0.25">
      <c r="D570" s="663"/>
    </row>
    <row r="571" spans="4:4" x14ac:dyDescent="0.25">
      <c r="D571" s="663"/>
    </row>
    <row r="572" spans="4:4" x14ac:dyDescent="0.25">
      <c r="D572" s="663"/>
    </row>
    <row r="573" spans="4:4" x14ac:dyDescent="0.25">
      <c r="D573" s="663"/>
    </row>
    <row r="574" spans="4:4" x14ac:dyDescent="0.25">
      <c r="D574" s="663"/>
    </row>
    <row r="575" spans="4:4" x14ac:dyDescent="0.25">
      <c r="D575" s="663"/>
    </row>
    <row r="576" spans="4:4" x14ac:dyDescent="0.25">
      <c r="D576" s="663"/>
    </row>
    <row r="577" spans="4:4" x14ac:dyDescent="0.25">
      <c r="D577" s="663"/>
    </row>
    <row r="578" spans="4:4" x14ac:dyDescent="0.25">
      <c r="D578" s="663"/>
    </row>
    <row r="579" spans="4:4" x14ac:dyDescent="0.25">
      <c r="D579" s="663"/>
    </row>
    <row r="580" spans="4:4" x14ac:dyDescent="0.25">
      <c r="D580" s="663"/>
    </row>
    <row r="581" spans="4:4" x14ac:dyDescent="0.25">
      <c r="D581" s="663"/>
    </row>
    <row r="582" spans="4:4" x14ac:dyDescent="0.25">
      <c r="D582" s="663"/>
    </row>
    <row r="583" spans="4:4" x14ac:dyDescent="0.25">
      <c r="D583" s="663"/>
    </row>
    <row r="584" spans="4:4" x14ac:dyDescent="0.25">
      <c r="D584" s="663"/>
    </row>
    <row r="585" spans="4:4" x14ac:dyDescent="0.25">
      <c r="D585" s="663"/>
    </row>
    <row r="586" spans="4:4" x14ac:dyDescent="0.25">
      <c r="D586" s="663"/>
    </row>
    <row r="587" spans="4:4" x14ac:dyDescent="0.25">
      <c r="D587" s="663"/>
    </row>
    <row r="588" spans="4:4" x14ac:dyDescent="0.25">
      <c r="D588" s="663"/>
    </row>
    <row r="589" spans="4:4" x14ac:dyDescent="0.25">
      <c r="D589" s="663"/>
    </row>
    <row r="590" spans="4:4" x14ac:dyDescent="0.25">
      <c r="D590" s="663"/>
    </row>
    <row r="591" spans="4:4" x14ac:dyDescent="0.25">
      <c r="D591" s="663"/>
    </row>
    <row r="592" spans="4:4" x14ac:dyDescent="0.25">
      <c r="D592" s="663"/>
    </row>
    <row r="593" spans="4:4" x14ac:dyDescent="0.25">
      <c r="D593" s="663"/>
    </row>
    <row r="594" spans="4:4" x14ac:dyDescent="0.25">
      <c r="D594" s="663"/>
    </row>
    <row r="595" spans="4:4" x14ac:dyDescent="0.25">
      <c r="D595" s="663"/>
    </row>
    <row r="596" spans="4:4" x14ac:dyDescent="0.25">
      <c r="D596" s="663"/>
    </row>
    <row r="597" spans="4:4" x14ac:dyDescent="0.25">
      <c r="D597" s="663"/>
    </row>
    <row r="598" spans="4:4" x14ac:dyDescent="0.25">
      <c r="D598" s="663"/>
    </row>
    <row r="599" spans="4:4" x14ac:dyDescent="0.25">
      <c r="D599" s="663"/>
    </row>
    <row r="600" spans="4:4" x14ac:dyDescent="0.25">
      <c r="D600" s="663"/>
    </row>
    <row r="601" spans="4:4" x14ac:dyDescent="0.25">
      <c r="D601" s="663"/>
    </row>
    <row r="602" spans="4:4" x14ac:dyDescent="0.25">
      <c r="D602" s="663"/>
    </row>
    <row r="603" spans="4:4" x14ac:dyDescent="0.25">
      <c r="D603" s="663"/>
    </row>
    <row r="604" spans="4:4" x14ac:dyDescent="0.25">
      <c r="D604" s="663"/>
    </row>
    <row r="605" spans="4:4" x14ac:dyDescent="0.25">
      <c r="D605" s="663"/>
    </row>
    <row r="606" spans="4:4" x14ac:dyDescent="0.25">
      <c r="D606" s="663"/>
    </row>
    <row r="607" spans="4:4" x14ac:dyDescent="0.25">
      <c r="D607" s="663"/>
    </row>
    <row r="608" spans="4:4" x14ac:dyDescent="0.25">
      <c r="D608" s="663"/>
    </row>
    <row r="609" spans="4:4" x14ac:dyDescent="0.25">
      <c r="D609" s="663"/>
    </row>
    <row r="610" spans="4:4" x14ac:dyDescent="0.25">
      <c r="D610" s="663"/>
    </row>
    <row r="611" spans="4:4" x14ac:dyDescent="0.25">
      <c r="D611" s="663"/>
    </row>
    <row r="612" spans="4:4" x14ac:dyDescent="0.25">
      <c r="D612" s="663"/>
    </row>
    <row r="613" spans="4:4" x14ac:dyDescent="0.25">
      <c r="D613" s="663"/>
    </row>
    <row r="614" spans="4:4" x14ac:dyDescent="0.25">
      <c r="D614" s="663"/>
    </row>
    <row r="615" spans="4:4" x14ac:dyDescent="0.25">
      <c r="D615" s="663"/>
    </row>
    <row r="616" spans="4:4" x14ac:dyDescent="0.25">
      <c r="D616" s="663"/>
    </row>
    <row r="617" spans="4:4" x14ac:dyDescent="0.25">
      <c r="D617" s="663"/>
    </row>
    <row r="618" spans="4:4" x14ac:dyDescent="0.25">
      <c r="D618" s="663"/>
    </row>
    <row r="619" spans="4:4" x14ac:dyDescent="0.25">
      <c r="D619" s="663"/>
    </row>
  </sheetData>
  <sheetProtection algorithmName="SHA-512" hashValue="iDW+awSazE5ARt6fpjS13aLn+VOttSNz4vtJrXNHlz0RdgIHL3aArsA2lxNjIiC6hppJjEhtrqTNQVc18yraBQ==" saltValue="Ubgo2NOYMVkn6zVdjoCQUg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78"/>
  <sheetViews>
    <sheetView zoomScaleNormal="100" workbookViewId="0">
      <pane xSplit="2" ySplit="4" topLeftCell="BI122" activePane="bottomRight" state="frozen"/>
      <selection activeCell="AG383" sqref="AG383"/>
      <selection pane="topRight" activeCell="AG383" sqref="AG383"/>
      <selection pane="bottomLeft" activeCell="AG383" sqref="AG383"/>
      <selection pane="bottomRight" activeCell="BX127" sqref="BX127"/>
    </sheetView>
  </sheetViews>
  <sheetFormatPr defaultColWidth="8.85546875" defaultRowHeight="15" outlineLevelRow="2" outlineLevelCol="1" x14ac:dyDescent="0.2"/>
  <cols>
    <col min="1" max="1" width="12" style="492" hidden="1" customWidth="1" outlineLevel="1"/>
    <col min="2" max="2" width="1.85546875" style="493" hidden="1" customWidth="1" outlineLevel="1"/>
    <col min="3" max="3" width="43.28515625" style="494" bestFit="1" customWidth="1" collapsed="1"/>
    <col min="4" max="4" width="2.42578125" style="493" hidden="1" customWidth="1"/>
    <col min="5" max="5" width="7.140625" style="493" hidden="1" customWidth="1" outlineLevel="1"/>
    <col min="6" max="6" width="6.42578125" style="493" hidden="1" customWidth="1" outlineLevel="1"/>
    <col min="7" max="7" width="5.85546875" style="493" hidden="1" customWidth="1"/>
    <col min="8" max="8" width="6.85546875" style="493" hidden="1" customWidth="1"/>
    <col min="9" max="9" width="6.7109375" style="493" hidden="1" customWidth="1"/>
    <col min="10" max="10" width="6.42578125" style="493" hidden="1" customWidth="1"/>
    <col min="11" max="11" width="7" style="493" hidden="1" customWidth="1"/>
    <col min="12" max="12" width="6.7109375" style="493" hidden="1" customWidth="1"/>
    <col min="13" max="13" width="6.28515625" style="493" hidden="1" customWidth="1"/>
    <col min="14" max="14" width="6.5703125" style="493" hidden="1" customWidth="1"/>
    <col min="15" max="15" width="7" style="493" hidden="1" customWidth="1"/>
    <col min="16" max="16" width="6.5703125" style="493" hidden="1" customWidth="1"/>
    <col min="17" max="17" width="7.140625" style="493" hidden="1" customWidth="1"/>
    <col min="18" max="19" width="6.5703125" style="493" hidden="1" customWidth="1"/>
    <col min="20" max="20" width="6.85546875" style="493" hidden="1" customWidth="1"/>
    <col min="21" max="21" width="6.7109375" style="493" hidden="1" customWidth="1"/>
    <col min="22" max="24" width="7.42578125" style="493" hidden="1" customWidth="1"/>
    <col min="25" max="26" width="6.5703125" style="493" hidden="1" customWidth="1"/>
    <col min="27" max="27" width="7" style="493" hidden="1" customWidth="1"/>
    <col min="28" max="28" width="6.5703125" style="493" hidden="1" customWidth="1"/>
    <col min="29" max="29" width="7.140625" style="492" hidden="1" customWidth="1"/>
    <col min="30" max="31" width="6.5703125" style="492" hidden="1" customWidth="1"/>
    <col min="32" max="32" width="6.85546875" style="492" hidden="1" customWidth="1"/>
    <col min="33" max="33" width="6.7109375" style="492" hidden="1" customWidth="1"/>
    <col min="34" max="35" width="7.42578125" style="492" hidden="1" customWidth="1"/>
    <col min="36" max="36" width="7.42578125" style="657" hidden="1" customWidth="1"/>
    <col min="37" max="38" width="6.5703125" style="657" hidden="1" customWidth="1"/>
    <col min="39" max="39" width="7" style="657" hidden="1" customWidth="1"/>
    <col min="40" max="40" width="6.5703125" style="657" hidden="1" customWidth="1"/>
    <col min="41" max="41" width="7.140625" style="657" hidden="1" customWidth="1"/>
    <col min="42" max="43" width="6.5703125" style="657" hidden="1" customWidth="1"/>
    <col min="44" max="44" width="6.85546875" style="657" hidden="1" customWidth="1"/>
    <col min="45" max="45" width="6.7109375" style="657" hidden="1" customWidth="1"/>
    <col min="46" max="48" width="7.42578125" style="657" hidden="1" customWidth="1"/>
    <col min="49" max="50" width="6.5703125" style="657" hidden="1" customWidth="1"/>
    <col min="51" max="51" width="7" style="657" hidden="1" customWidth="1"/>
    <col min="52" max="52" width="6.5703125" style="657" hidden="1" customWidth="1"/>
    <col min="53" max="53" width="7.140625" style="657" hidden="1" customWidth="1"/>
    <col min="54" max="55" width="6.5703125" style="657" hidden="1" customWidth="1"/>
    <col min="56" max="56" width="6.85546875" style="657" hidden="1" customWidth="1"/>
    <col min="57" max="57" width="6.7109375" style="657" hidden="1" customWidth="1"/>
    <col min="58" max="59" width="7.42578125" style="657" hidden="1" customWidth="1"/>
    <col min="60" max="60" width="7.42578125" style="657" customWidth="1" outlineLevel="1"/>
    <col min="61" max="61" width="2.42578125" style="658" customWidth="1" outlineLevel="1"/>
    <col min="62" max="62" width="6.7109375" style="492" customWidth="1" outlineLevel="1"/>
    <col min="63" max="63" width="9" style="492" customWidth="1" outlineLevel="1"/>
    <col min="64" max="64" width="2.42578125" style="658" customWidth="1"/>
    <col min="65" max="70" width="8.85546875" style="492" hidden="1" customWidth="1"/>
    <col min="71" max="71" width="9.42578125" style="502" customWidth="1"/>
    <col min="72" max="72" width="2.42578125" style="658" customWidth="1"/>
    <col min="73" max="78" width="8.85546875" style="492" customWidth="1" outlineLevel="1"/>
    <col min="79" max="79" width="7.42578125" style="502" customWidth="1" outlineLevel="1"/>
    <col min="80" max="80" width="11.42578125" style="502" customWidth="1"/>
    <col min="81" max="81" width="2.42578125" style="658" customWidth="1"/>
    <col min="82" max="86" width="9.42578125" style="492" hidden="1" customWidth="1" outlineLevel="1"/>
    <col min="87" max="87" width="9.42578125" style="492" hidden="1" customWidth="1" outlineLevel="1" collapsed="1"/>
    <col min="88" max="88" width="9.42578125" style="492" hidden="1" customWidth="1" outlineLevel="1"/>
    <col min="89" max="89" width="8.85546875" style="492" hidden="1" customWidth="1" outlineLevel="1" collapsed="1"/>
    <col min="90" max="90" width="8.85546875" style="492" hidden="1" customWidth="1" outlineLevel="1"/>
    <col min="91" max="92" width="8.85546875" style="492" hidden="1" customWidth="1" outlineLevel="1" collapsed="1"/>
    <col min="93" max="94" width="8.85546875" style="492" hidden="1" customWidth="1" outlineLevel="1"/>
    <col min="95" max="95" width="30.5703125" style="492" hidden="1" customWidth="1" outlineLevel="1"/>
    <col min="96" max="96" width="8.85546875" style="494" collapsed="1"/>
    <col min="97" max="16384" width="8.85546875" style="493"/>
  </cols>
  <sheetData>
    <row r="1" spans="1:96" outlineLevel="1" x14ac:dyDescent="0.2">
      <c r="E1" s="495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>
        <v>42125</v>
      </c>
      <c r="R1" s="497">
        <v>42156</v>
      </c>
      <c r="S1" s="497">
        <v>42186</v>
      </c>
      <c r="T1" s="497">
        <v>42217</v>
      </c>
      <c r="U1" s="497">
        <v>42248</v>
      </c>
      <c r="V1" s="497">
        <v>42278</v>
      </c>
      <c r="W1" s="497">
        <v>42309</v>
      </c>
      <c r="X1" s="497">
        <v>42339</v>
      </c>
      <c r="Y1" s="497">
        <v>42370</v>
      </c>
      <c r="Z1" s="497">
        <v>42401</v>
      </c>
      <c r="AA1" s="497">
        <v>42430</v>
      </c>
      <c r="AB1" s="497">
        <v>42461</v>
      </c>
      <c r="AC1" s="498">
        <v>42491</v>
      </c>
      <c r="AD1" s="498">
        <v>42522</v>
      </c>
      <c r="AE1" s="498">
        <v>42552</v>
      </c>
      <c r="AF1" s="498">
        <v>42583</v>
      </c>
      <c r="AG1" s="498">
        <v>42614</v>
      </c>
      <c r="AH1" s="498">
        <v>42644</v>
      </c>
      <c r="AI1" s="498">
        <v>42675</v>
      </c>
      <c r="AJ1" s="498">
        <v>42705</v>
      </c>
      <c r="AK1" s="498">
        <v>42736</v>
      </c>
      <c r="AL1" s="498">
        <v>42767</v>
      </c>
      <c r="AM1" s="498">
        <v>42795</v>
      </c>
      <c r="AN1" s="498">
        <v>42826</v>
      </c>
      <c r="AO1" s="498">
        <v>42856</v>
      </c>
      <c r="AP1" s="498">
        <v>42887</v>
      </c>
      <c r="AQ1" s="498">
        <v>42917</v>
      </c>
      <c r="AR1" s="498">
        <v>42948</v>
      </c>
      <c r="AS1" s="498">
        <v>42979</v>
      </c>
      <c r="AT1" s="498">
        <v>43009</v>
      </c>
      <c r="AU1" s="498">
        <v>43040</v>
      </c>
      <c r="AV1" s="498">
        <v>43070</v>
      </c>
      <c r="AW1" s="498">
        <v>43101</v>
      </c>
      <c r="AX1" s="498">
        <v>43132</v>
      </c>
      <c r="AY1" s="498">
        <v>43160</v>
      </c>
      <c r="AZ1" s="498">
        <v>43191</v>
      </c>
      <c r="BA1" s="498">
        <v>43221</v>
      </c>
      <c r="BB1" s="498">
        <v>43252</v>
      </c>
      <c r="BC1" s="498">
        <v>43282</v>
      </c>
      <c r="BD1" s="498">
        <v>43313</v>
      </c>
      <c r="BE1" s="498">
        <v>43344</v>
      </c>
      <c r="BF1" s="498">
        <v>43374</v>
      </c>
      <c r="BG1" s="498">
        <v>43405</v>
      </c>
      <c r="BH1" s="498">
        <v>43435</v>
      </c>
      <c r="BI1" s="499"/>
      <c r="BJ1" s="500"/>
      <c r="BK1" s="501"/>
      <c r="BL1" s="499"/>
      <c r="BM1" s="500"/>
      <c r="BN1" s="500"/>
      <c r="BO1" s="500"/>
      <c r="BP1" s="500"/>
      <c r="BQ1" s="500"/>
      <c r="BR1" s="500"/>
      <c r="BT1" s="499"/>
      <c r="BU1" s="500"/>
      <c r="BV1" s="500"/>
      <c r="BW1" s="500"/>
      <c r="BX1" s="500"/>
      <c r="BY1" s="500"/>
      <c r="BZ1" s="500"/>
      <c r="CC1" s="499"/>
      <c r="CK1" s="503">
        <v>42095</v>
      </c>
      <c r="CL1" s="503">
        <v>42125</v>
      </c>
      <c r="CM1" s="503">
        <v>42156</v>
      </c>
      <c r="CN1" s="503">
        <v>42186</v>
      </c>
      <c r="CO1" s="503">
        <v>42217</v>
      </c>
      <c r="CP1" s="503">
        <v>42248</v>
      </c>
      <c r="CQ1" s="503">
        <v>42278</v>
      </c>
    </row>
    <row r="2" spans="1:96" x14ac:dyDescent="0.2">
      <c r="A2" s="492" t="s">
        <v>657</v>
      </c>
      <c r="B2" s="493" t="s">
        <v>658</v>
      </c>
      <c r="C2" s="504" t="s">
        <v>659</v>
      </c>
      <c r="E2" s="505" t="s">
        <v>193</v>
      </c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8"/>
      <c r="BJ2" s="858" t="s">
        <v>660</v>
      </c>
      <c r="BK2" s="859"/>
      <c r="BL2" s="508"/>
      <c r="BM2" s="860"/>
      <c r="BN2" s="860"/>
      <c r="BO2" s="860"/>
      <c r="BP2" s="860"/>
      <c r="BQ2" s="860"/>
      <c r="BR2" s="860"/>
      <c r="BS2" s="861"/>
      <c r="BT2" s="508"/>
      <c r="BU2" s="862" t="s">
        <v>661</v>
      </c>
      <c r="BV2" s="863"/>
      <c r="BW2" s="863"/>
      <c r="BX2" s="863"/>
      <c r="BY2" s="863"/>
      <c r="BZ2" s="863"/>
      <c r="CA2" s="863"/>
      <c r="CB2" s="863"/>
      <c r="CC2" s="508"/>
      <c r="CD2" s="509"/>
      <c r="CE2" s="510"/>
    </row>
    <row r="3" spans="1:96" ht="60" x14ac:dyDescent="0.2">
      <c r="E3" s="511" t="s">
        <v>662</v>
      </c>
      <c r="F3" s="512" t="s">
        <v>663</v>
      </c>
      <c r="G3" s="512" t="s">
        <v>664</v>
      </c>
      <c r="H3" s="512" t="s">
        <v>665</v>
      </c>
      <c r="I3" s="512" t="s">
        <v>666</v>
      </c>
      <c r="J3" s="512" t="s">
        <v>667</v>
      </c>
      <c r="K3" s="512" t="s">
        <v>668</v>
      </c>
      <c r="L3" s="512" t="s">
        <v>669</v>
      </c>
      <c r="M3" s="512" t="s">
        <v>670</v>
      </c>
      <c r="N3" s="512" t="s">
        <v>671</v>
      </c>
      <c r="O3" s="512" t="s">
        <v>672</v>
      </c>
      <c r="P3" s="512" t="s">
        <v>673</v>
      </c>
      <c r="Q3" s="512" t="s">
        <v>674</v>
      </c>
      <c r="R3" s="512" t="s">
        <v>675</v>
      </c>
      <c r="S3" s="512" t="s">
        <v>676</v>
      </c>
      <c r="T3" s="512" t="s">
        <v>677</v>
      </c>
      <c r="U3" s="512" t="s">
        <v>678</v>
      </c>
      <c r="V3" s="512" t="s">
        <v>679</v>
      </c>
      <c r="W3" s="512" t="s">
        <v>680</v>
      </c>
      <c r="X3" s="512" t="s">
        <v>681</v>
      </c>
      <c r="Y3" s="512" t="s">
        <v>682</v>
      </c>
      <c r="Z3" s="512" t="s">
        <v>683</v>
      </c>
      <c r="AA3" s="512" t="s">
        <v>684</v>
      </c>
      <c r="AB3" s="512" t="s">
        <v>685</v>
      </c>
      <c r="AC3" s="512" t="s">
        <v>686</v>
      </c>
      <c r="AD3" s="512" t="s">
        <v>687</v>
      </c>
      <c r="AE3" s="512" t="s">
        <v>688</v>
      </c>
      <c r="AF3" s="512" t="s">
        <v>689</v>
      </c>
      <c r="AG3" s="512" t="s">
        <v>690</v>
      </c>
      <c r="AH3" s="512" t="s">
        <v>691</v>
      </c>
      <c r="AI3" s="512" t="s">
        <v>692</v>
      </c>
      <c r="AJ3" s="513" t="s">
        <v>693</v>
      </c>
      <c r="AK3" s="513" t="s">
        <v>694</v>
      </c>
      <c r="AL3" s="513" t="s">
        <v>695</v>
      </c>
      <c r="AM3" s="513" t="s">
        <v>696</v>
      </c>
      <c r="AN3" s="513" t="s">
        <v>697</v>
      </c>
      <c r="AO3" s="513" t="s">
        <v>698</v>
      </c>
      <c r="AP3" s="513" t="s">
        <v>699</v>
      </c>
      <c r="AQ3" s="513" t="s">
        <v>700</v>
      </c>
      <c r="AR3" s="513" t="s">
        <v>701</v>
      </c>
      <c r="AS3" s="513" t="s">
        <v>702</v>
      </c>
      <c r="AT3" s="513" t="s">
        <v>703</v>
      </c>
      <c r="AU3" s="513" t="s">
        <v>704</v>
      </c>
      <c r="AV3" s="513" t="s">
        <v>705</v>
      </c>
      <c r="AW3" s="513" t="s">
        <v>706</v>
      </c>
      <c r="AX3" s="513" t="s">
        <v>707</v>
      </c>
      <c r="AY3" s="513" t="s">
        <v>708</v>
      </c>
      <c r="AZ3" s="513" t="s">
        <v>709</v>
      </c>
      <c r="BA3" s="513" t="s">
        <v>710</v>
      </c>
      <c r="BB3" s="513" t="s">
        <v>711</v>
      </c>
      <c r="BC3" s="513" t="s">
        <v>712</v>
      </c>
      <c r="BD3" s="513" t="s">
        <v>713</v>
      </c>
      <c r="BE3" s="513" t="s">
        <v>714</v>
      </c>
      <c r="BF3" s="513" t="s">
        <v>715</v>
      </c>
      <c r="BG3" s="513" t="s">
        <v>716</v>
      </c>
      <c r="BH3" s="513" t="s">
        <v>717</v>
      </c>
      <c r="BI3" s="508"/>
      <c r="BJ3" s="512" t="s">
        <v>717</v>
      </c>
      <c r="BK3" s="514" t="s">
        <v>718</v>
      </c>
      <c r="BL3" s="508"/>
      <c r="BM3" s="512" t="s">
        <v>719</v>
      </c>
      <c r="BN3" s="512" t="s">
        <v>720</v>
      </c>
      <c r="BO3" s="512" t="s">
        <v>721</v>
      </c>
      <c r="BP3" s="512" t="s">
        <v>722</v>
      </c>
      <c r="BQ3" s="512" t="s">
        <v>723</v>
      </c>
      <c r="BR3" s="512" t="s">
        <v>724</v>
      </c>
      <c r="BS3" s="515" t="s">
        <v>189</v>
      </c>
      <c r="BT3" s="508"/>
      <c r="BU3" s="512" t="s">
        <v>725</v>
      </c>
      <c r="BV3" s="512" t="s">
        <v>726</v>
      </c>
      <c r="BW3" s="512" t="s">
        <v>727</v>
      </c>
      <c r="BX3" s="512" t="s">
        <v>728</v>
      </c>
      <c r="BY3" s="512" t="s">
        <v>729</v>
      </c>
      <c r="BZ3" s="512" t="s">
        <v>730</v>
      </c>
      <c r="CA3" s="516" t="s">
        <v>894</v>
      </c>
      <c r="CB3" s="516" t="s">
        <v>895</v>
      </c>
      <c r="CC3" s="508"/>
      <c r="CD3" s="517" t="s">
        <v>731</v>
      </c>
      <c r="CE3" s="517" t="s">
        <v>732</v>
      </c>
      <c r="CF3" s="517" t="s">
        <v>733</v>
      </c>
      <c r="CG3" s="517" t="s">
        <v>734</v>
      </c>
      <c r="CH3" s="517" t="s">
        <v>735</v>
      </c>
      <c r="CI3" s="517" t="s">
        <v>736</v>
      </c>
      <c r="CJ3" s="517" t="s">
        <v>737</v>
      </c>
      <c r="CK3" s="514" t="s">
        <v>738</v>
      </c>
      <c r="CL3" s="514" t="s">
        <v>739</v>
      </c>
      <c r="CM3" s="514" t="s">
        <v>740</v>
      </c>
      <c r="CN3" s="514" t="s">
        <v>741</v>
      </c>
      <c r="CO3" s="514" t="s">
        <v>742</v>
      </c>
      <c r="CP3" s="514" t="s">
        <v>743</v>
      </c>
      <c r="CQ3" s="514" t="s">
        <v>744</v>
      </c>
      <c r="CR3" s="494" t="s">
        <v>745</v>
      </c>
    </row>
    <row r="4" spans="1:96" s="519" customFormat="1" ht="6" customHeight="1" thickBot="1" x14ac:dyDescent="0.25">
      <c r="A4" s="518"/>
      <c r="C4" s="520"/>
      <c r="E4" s="521"/>
      <c r="F4" s="522"/>
      <c r="G4" s="522"/>
      <c r="I4" s="522"/>
      <c r="J4" s="522"/>
      <c r="K4" s="522"/>
      <c r="AC4" s="518"/>
      <c r="AD4" s="518"/>
      <c r="AE4" s="518"/>
      <c r="AF4" s="518"/>
      <c r="AG4" s="518"/>
      <c r="AH4" s="518"/>
      <c r="AI4" s="518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4"/>
      <c r="BJ4" s="518"/>
      <c r="BK4" s="521"/>
      <c r="BL4" s="524"/>
      <c r="BM4" s="518"/>
      <c r="BN4" s="518"/>
      <c r="BO4" s="518"/>
      <c r="BP4" s="518"/>
      <c r="BQ4" s="518"/>
      <c r="BR4" s="518"/>
      <c r="BS4" s="525"/>
      <c r="BT4" s="524"/>
      <c r="BU4" s="518"/>
      <c r="BV4" s="518"/>
      <c r="BW4" s="518"/>
      <c r="BX4" s="518"/>
      <c r="BY4" s="518"/>
      <c r="BZ4" s="518"/>
      <c r="CA4" s="525"/>
      <c r="CB4" s="525"/>
      <c r="CC4" s="524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20"/>
    </row>
    <row r="5" spans="1:96" s="527" customFormat="1" ht="15.75" thickBot="1" x14ac:dyDescent="0.25">
      <c r="A5" s="526" t="s">
        <v>776</v>
      </c>
      <c r="C5" s="528" t="s">
        <v>746</v>
      </c>
      <c r="E5" s="529">
        <v>54</v>
      </c>
      <c r="F5" s="529">
        <v>61</v>
      </c>
      <c r="G5" s="529">
        <v>62</v>
      </c>
      <c r="H5" s="529">
        <v>32</v>
      </c>
      <c r="I5" s="529">
        <v>50</v>
      </c>
      <c r="J5" s="529">
        <v>42</v>
      </c>
      <c r="K5" s="529">
        <v>46</v>
      </c>
      <c r="L5" s="529">
        <v>43</v>
      </c>
      <c r="M5" s="529">
        <v>38</v>
      </c>
      <c r="N5" s="529">
        <v>53</v>
      </c>
      <c r="O5" s="529">
        <v>58</v>
      </c>
      <c r="P5" s="529">
        <v>64</v>
      </c>
      <c r="Q5" s="529">
        <v>46</v>
      </c>
      <c r="R5" s="529">
        <v>48</v>
      </c>
      <c r="S5" s="529">
        <v>42</v>
      </c>
      <c r="T5" s="529">
        <v>50</v>
      </c>
      <c r="U5" s="529">
        <v>33</v>
      </c>
      <c r="V5" s="529">
        <v>45</v>
      </c>
      <c r="W5" s="529">
        <v>38</v>
      </c>
      <c r="X5" s="529">
        <v>43</v>
      </c>
      <c r="Y5" s="529">
        <v>43</v>
      </c>
      <c r="Z5" s="529">
        <v>58</v>
      </c>
      <c r="AA5" s="529">
        <v>59</v>
      </c>
      <c r="AB5" s="529">
        <v>56</v>
      </c>
      <c r="AC5" s="529">
        <v>66</v>
      </c>
      <c r="AD5" s="529">
        <v>67</v>
      </c>
      <c r="AE5" s="529">
        <v>48</v>
      </c>
      <c r="AF5" s="529">
        <v>62</v>
      </c>
      <c r="AG5" s="529">
        <v>61</v>
      </c>
      <c r="AH5" s="529">
        <v>54</v>
      </c>
      <c r="AI5" s="529">
        <v>68</v>
      </c>
      <c r="AJ5" s="529">
        <v>71</v>
      </c>
      <c r="AK5" s="529">
        <v>91</v>
      </c>
      <c r="AL5" s="529">
        <v>75</v>
      </c>
      <c r="AM5" s="529">
        <v>72</v>
      </c>
      <c r="AN5" s="529">
        <v>74</v>
      </c>
      <c r="AO5" s="529">
        <v>101</v>
      </c>
      <c r="AP5" s="529">
        <v>96</v>
      </c>
      <c r="AQ5" s="529">
        <v>98</v>
      </c>
      <c r="AR5" s="529">
        <v>94</v>
      </c>
      <c r="AS5" s="529">
        <v>89</v>
      </c>
      <c r="AT5" s="529">
        <v>86</v>
      </c>
      <c r="AU5" s="529">
        <v>105</v>
      </c>
      <c r="AV5" s="529">
        <v>94</v>
      </c>
      <c r="AW5" s="529">
        <v>103</v>
      </c>
      <c r="AX5" s="529">
        <v>108</v>
      </c>
      <c r="AY5" s="529">
        <v>104</v>
      </c>
      <c r="AZ5" s="529">
        <v>109</v>
      </c>
      <c r="BA5" s="529">
        <v>115</v>
      </c>
      <c r="BB5" s="529">
        <v>115</v>
      </c>
      <c r="BC5" s="529">
        <v>103</v>
      </c>
      <c r="BD5" s="529">
        <v>109</v>
      </c>
      <c r="BE5" s="529">
        <v>107</v>
      </c>
      <c r="BF5" s="529">
        <v>122</v>
      </c>
      <c r="BG5" s="529">
        <v>103</v>
      </c>
      <c r="BH5" s="529">
        <v>100</v>
      </c>
      <c r="BI5" s="530"/>
      <c r="BJ5" s="529">
        <v>101</v>
      </c>
      <c r="BK5" s="529">
        <v>-1</v>
      </c>
      <c r="BL5" s="530"/>
      <c r="BM5" s="529">
        <v>90</v>
      </c>
      <c r="BN5" s="529">
        <v>98</v>
      </c>
      <c r="BO5" s="529">
        <v>98</v>
      </c>
      <c r="BP5" s="529">
        <v>98</v>
      </c>
      <c r="BQ5" s="529">
        <v>98</v>
      </c>
      <c r="BR5" s="529">
        <v>98</v>
      </c>
      <c r="BS5" s="529">
        <v>1224</v>
      </c>
      <c r="BT5" s="530"/>
      <c r="BU5" s="529">
        <v>105</v>
      </c>
      <c r="BV5" s="529">
        <v>104</v>
      </c>
      <c r="BW5" s="529">
        <v>113</v>
      </c>
      <c r="BX5" s="529">
        <v>113</v>
      </c>
      <c r="BY5" s="529">
        <v>113</v>
      </c>
      <c r="BZ5" s="529">
        <v>113</v>
      </c>
      <c r="CA5" s="529">
        <v>661</v>
      </c>
      <c r="CB5" s="529">
        <v>1322</v>
      </c>
      <c r="CC5" s="530"/>
      <c r="CK5" s="527" t="s">
        <v>896</v>
      </c>
      <c r="CL5" s="527" t="s">
        <v>896</v>
      </c>
      <c r="CM5" s="527" t="s">
        <v>896</v>
      </c>
      <c r="CN5" s="527" t="s">
        <v>896</v>
      </c>
      <c r="CO5" s="527" t="s">
        <v>896</v>
      </c>
      <c r="CP5" s="527" t="s">
        <v>896</v>
      </c>
      <c r="CQ5" s="527" t="s">
        <v>896</v>
      </c>
      <c r="CR5" s="531"/>
    </row>
    <row r="6" spans="1:96" s="532" customFormat="1" ht="15.75" thickBot="1" x14ac:dyDescent="0.25">
      <c r="A6" s="532" t="s">
        <v>896</v>
      </c>
      <c r="C6" s="533"/>
      <c r="E6" s="534"/>
      <c r="F6" s="534"/>
      <c r="AJ6" s="535"/>
      <c r="AK6" s="535"/>
      <c r="AL6" s="535"/>
      <c r="AM6" s="535"/>
      <c r="AN6" s="535"/>
      <c r="AO6" s="535"/>
      <c r="AP6" s="535"/>
      <c r="AQ6" s="535"/>
      <c r="AR6" s="535"/>
      <c r="AS6" s="535"/>
      <c r="AT6" s="535"/>
      <c r="AU6" s="535"/>
      <c r="AV6" s="535"/>
      <c r="AW6" s="535"/>
      <c r="AX6" s="535"/>
      <c r="AY6" s="535"/>
      <c r="AZ6" s="535"/>
      <c r="BA6" s="535"/>
      <c r="BB6" s="535"/>
      <c r="BC6" s="535"/>
      <c r="BD6" s="535"/>
      <c r="BE6" s="535"/>
      <c r="BF6" s="535"/>
      <c r="BG6" s="535"/>
      <c r="BH6" s="535"/>
      <c r="BI6" s="536"/>
      <c r="BK6" s="532" t="s">
        <v>896</v>
      </c>
      <c r="BL6" s="536"/>
      <c r="BT6" s="536"/>
      <c r="CA6" s="537"/>
      <c r="CB6" s="537"/>
      <c r="CC6" s="536"/>
      <c r="CK6" s="532" t="s">
        <v>896</v>
      </c>
      <c r="CL6" s="532" t="s">
        <v>896</v>
      </c>
      <c r="CM6" s="532" t="s">
        <v>896</v>
      </c>
      <c r="CN6" s="532" t="s">
        <v>896</v>
      </c>
      <c r="CO6" s="532" t="s">
        <v>896</v>
      </c>
      <c r="CP6" s="532" t="s">
        <v>896</v>
      </c>
      <c r="CQ6" s="532" t="s">
        <v>896</v>
      </c>
      <c r="CR6" s="533"/>
    </row>
    <row r="7" spans="1:96" s="539" customFormat="1" ht="15.75" thickBot="1" x14ac:dyDescent="0.25">
      <c r="A7" s="538" t="s">
        <v>776</v>
      </c>
      <c r="C7" s="540" t="s">
        <v>747</v>
      </c>
      <c r="E7" s="539">
        <v>12</v>
      </c>
      <c r="F7" s="541">
        <v>10</v>
      </c>
      <c r="G7" s="541">
        <v>12</v>
      </c>
      <c r="H7" s="541">
        <v>4</v>
      </c>
      <c r="I7" s="541">
        <v>4</v>
      </c>
      <c r="J7" s="541">
        <v>11</v>
      </c>
      <c r="K7" s="541">
        <v>13</v>
      </c>
      <c r="L7" s="541">
        <v>5</v>
      </c>
      <c r="M7" s="541">
        <v>6</v>
      </c>
      <c r="N7" s="541">
        <v>8</v>
      </c>
      <c r="O7" s="541">
        <v>7</v>
      </c>
      <c r="P7" s="541">
        <v>7</v>
      </c>
      <c r="Q7" s="541">
        <v>0</v>
      </c>
      <c r="R7" s="541">
        <v>0</v>
      </c>
      <c r="S7" s="541">
        <v>0</v>
      </c>
      <c r="T7" s="541">
        <v>0</v>
      </c>
      <c r="U7" s="541">
        <v>0</v>
      </c>
      <c r="V7" s="541">
        <v>0</v>
      </c>
      <c r="W7" s="541">
        <v>0</v>
      </c>
      <c r="X7" s="541">
        <v>0</v>
      </c>
      <c r="Y7" s="541">
        <v>0</v>
      </c>
      <c r="Z7" s="541">
        <v>0</v>
      </c>
      <c r="AA7" s="541">
        <v>0</v>
      </c>
      <c r="AB7" s="541">
        <v>0</v>
      </c>
      <c r="AC7" s="541">
        <v>0</v>
      </c>
      <c r="AD7" s="541">
        <v>0</v>
      </c>
      <c r="AE7" s="541">
        <v>10</v>
      </c>
      <c r="AF7" s="541">
        <v>11</v>
      </c>
      <c r="AG7" s="541">
        <v>9</v>
      </c>
      <c r="AH7" s="541">
        <v>5</v>
      </c>
      <c r="AI7" s="541">
        <v>9</v>
      </c>
      <c r="AJ7" s="541">
        <v>7</v>
      </c>
      <c r="AK7" s="541">
        <v>8</v>
      </c>
      <c r="AL7" s="541">
        <v>8</v>
      </c>
      <c r="AM7" s="541">
        <v>13</v>
      </c>
      <c r="AN7" s="541">
        <v>8</v>
      </c>
      <c r="AO7" s="541">
        <v>12</v>
      </c>
      <c r="AP7" s="541">
        <v>10</v>
      </c>
      <c r="AQ7" s="541">
        <v>8</v>
      </c>
      <c r="AR7" s="541">
        <v>11</v>
      </c>
      <c r="AS7" s="541">
        <v>7</v>
      </c>
      <c r="AT7" s="541">
        <v>9</v>
      </c>
      <c r="AU7" s="541">
        <v>10</v>
      </c>
      <c r="AV7" s="541">
        <v>4</v>
      </c>
      <c r="AW7" s="541">
        <v>9</v>
      </c>
      <c r="AX7" s="541">
        <v>5</v>
      </c>
      <c r="AY7" s="541">
        <v>8</v>
      </c>
      <c r="AZ7" s="541">
        <v>4</v>
      </c>
      <c r="BA7" s="541">
        <v>9</v>
      </c>
      <c r="BB7" s="541">
        <v>12</v>
      </c>
      <c r="BC7" s="541">
        <v>6</v>
      </c>
      <c r="BD7" s="541">
        <v>8</v>
      </c>
      <c r="BE7" s="541">
        <v>9</v>
      </c>
      <c r="BF7" s="541">
        <v>9</v>
      </c>
      <c r="BG7" s="541">
        <v>7</v>
      </c>
      <c r="BH7" s="541">
        <v>2</v>
      </c>
      <c r="BI7" s="542"/>
      <c r="BJ7" s="541">
        <v>2</v>
      </c>
      <c r="BK7" s="541">
        <v>0</v>
      </c>
      <c r="BL7" s="542"/>
      <c r="BM7" s="541">
        <v>8</v>
      </c>
      <c r="BN7" s="541">
        <v>8</v>
      </c>
      <c r="BO7" s="541">
        <v>8</v>
      </c>
      <c r="BP7" s="541">
        <v>8</v>
      </c>
      <c r="BQ7" s="541">
        <v>8</v>
      </c>
      <c r="BR7" s="541">
        <v>8</v>
      </c>
      <c r="BS7" s="541">
        <v>89</v>
      </c>
      <c r="BT7" s="542"/>
      <c r="BU7" s="541">
        <v>8</v>
      </c>
      <c r="BV7" s="541">
        <v>8</v>
      </c>
      <c r="BW7" s="541">
        <v>8</v>
      </c>
      <c r="BX7" s="541">
        <v>8</v>
      </c>
      <c r="BY7" s="541">
        <v>8</v>
      </c>
      <c r="BZ7" s="541">
        <v>8</v>
      </c>
      <c r="CA7" s="541">
        <v>48</v>
      </c>
      <c r="CB7" s="541">
        <v>96</v>
      </c>
      <c r="CC7" s="542"/>
      <c r="CK7" s="539" t="s">
        <v>896</v>
      </c>
      <c r="CL7" s="539" t="s">
        <v>896</v>
      </c>
      <c r="CM7" s="539" t="s">
        <v>896</v>
      </c>
      <c r="CN7" s="539" t="s">
        <v>896</v>
      </c>
      <c r="CO7" s="539" t="s">
        <v>896</v>
      </c>
      <c r="CP7" s="539" t="s">
        <v>896</v>
      </c>
      <c r="CQ7" s="539" t="s">
        <v>896</v>
      </c>
      <c r="CR7" s="540"/>
    </row>
    <row r="8" spans="1:96" s="543" customFormat="1" outlineLevel="1" x14ac:dyDescent="0.2">
      <c r="A8" s="543">
        <v>44073</v>
      </c>
      <c r="C8" s="544" t="s">
        <v>748</v>
      </c>
      <c r="E8" s="543">
        <v>12</v>
      </c>
      <c r="F8" s="545">
        <v>10</v>
      </c>
      <c r="G8" s="543">
        <v>12</v>
      </c>
      <c r="H8" s="543">
        <v>4</v>
      </c>
      <c r="I8" s="543">
        <v>4</v>
      </c>
      <c r="J8" s="543">
        <v>11</v>
      </c>
      <c r="K8" s="543">
        <v>13</v>
      </c>
      <c r="L8" s="543">
        <v>5</v>
      </c>
      <c r="M8" s="543">
        <v>6</v>
      </c>
      <c r="N8" s="543">
        <v>8</v>
      </c>
      <c r="O8" s="543">
        <v>7</v>
      </c>
      <c r="P8" s="543">
        <v>7</v>
      </c>
      <c r="Q8" s="543" t="s">
        <v>896</v>
      </c>
      <c r="R8" s="543" t="s">
        <v>896</v>
      </c>
      <c r="S8" s="543" t="s">
        <v>896</v>
      </c>
      <c r="T8" s="543" t="s">
        <v>896</v>
      </c>
      <c r="U8" s="543" t="s">
        <v>896</v>
      </c>
      <c r="V8" s="546" t="s">
        <v>896</v>
      </c>
      <c r="W8" s="546" t="s">
        <v>896</v>
      </c>
      <c r="X8" s="546" t="s">
        <v>896</v>
      </c>
      <c r="Y8" s="546" t="s">
        <v>896</v>
      </c>
      <c r="Z8" s="546" t="s">
        <v>896</v>
      </c>
      <c r="AA8" s="546" t="s">
        <v>896</v>
      </c>
      <c r="AB8" s="546" t="s">
        <v>896</v>
      </c>
      <c r="AC8" s="546" t="s">
        <v>896</v>
      </c>
      <c r="AD8" s="546" t="s">
        <v>896</v>
      </c>
      <c r="AE8" s="546" t="s">
        <v>896</v>
      </c>
      <c r="AF8" s="546" t="s">
        <v>896</v>
      </c>
      <c r="AG8" s="546" t="s">
        <v>896</v>
      </c>
      <c r="AH8" s="546" t="s">
        <v>896</v>
      </c>
      <c r="AI8" s="546" t="s">
        <v>896</v>
      </c>
      <c r="AJ8" s="546" t="s">
        <v>896</v>
      </c>
      <c r="AK8" s="546" t="s">
        <v>896</v>
      </c>
      <c r="AL8" s="546" t="s">
        <v>896</v>
      </c>
      <c r="AM8" s="546" t="s">
        <v>896</v>
      </c>
      <c r="AN8" s="546" t="s">
        <v>896</v>
      </c>
      <c r="AO8" s="546" t="s">
        <v>896</v>
      </c>
      <c r="AP8" s="546" t="s">
        <v>896</v>
      </c>
      <c r="AQ8" s="546" t="s">
        <v>896</v>
      </c>
      <c r="AR8" s="546" t="s">
        <v>896</v>
      </c>
      <c r="AS8" s="546">
        <v>1</v>
      </c>
      <c r="AT8" s="546" t="s">
        <v>896</v>
      </c>
      <c r="AU8" s="546" t="s">
        <v>896</v>
      </c>
      <c r="AV8" s="546" t="s">
        <v>896</v>
      </c>
      <c r="AW8" s="546" t="s">
        <v>896</v>
      </c>
      <c r="AX8" s="546" t="s">
        <v>896</v>
      </c>
      <c r="AY8" s="546" t="s">
        <v>896</v>
      </c>
      <c r="AZ8" s="546" t="s">
        <v>896</v>
      </c>
      <c r="BA8" s="546" t="s">
        <v>896</v>
      </c>
      <c r="BB8" s="546" t="s">
        <v>896</v>
      </c>
      <c r="BC8" s="546" t="s">
        <v>896</v>
      </c>
      <c r="BD8" s="546" t="s">
        <v>896</v>
      </c>
      <c r="BE8" s="546" t="s">
        <v>896</v>
      </c>
      <c r="BF8" s="546" t="s">
        <v>896</v>
      </c>
      <c r="BG8" s="546" t="s">
        <v>896</v>
      </c>
      <c r="BH8" s="546" t="s">
        <v>896</v>
      </c>
      <c r="BI8" s="536"/>
      <c r="BK8" s="543" t="s">
        <v>896</v>
      </c>
      <c r="BL8" s="536"/>
      <c r="BS8" s="543" t="s">
        <v>896</v>
      </c>
      <c r="BT8" s="536"/>
      <c r="CA8" s="545">
        <v>0</v>
      </c>
      <c r="CB8" s="545">
        <v>0</v>
      </c>
      <c r="CC8" s="536"/>
      <c r="CD8" s="543">
        <v>5</v>
      </c>
      <c r="CE8" s="543">
        <v>3</v>
      </c>
      <c r="CG8" s="543">
        <v>5</v>
      </c>
      <c r="CH8" s="543">
        <v>3</v>
      </c>
      <c r="CI8" s="543">
        <v>4</v>
      </c>
      <c r="CJ8" s="543">
        <v>4</v>
      </c>
      <c r="CK8" s="543" t="s">
        <v>896</v>
      </c>
      <c r="CL8" s="543" t="s">
        <v>896</v>
      </c>
      <c r="CM8" s="543" t="s">
        <v>896</v>
      </c>
      <c r="CN8" s="543" t="s">
        <v>896</v>
      </c>
      <c r="CO8" s="546" t="s">
        <v>896</v>
      </c>
      <c r="CP8" s="546" t="s">
        <v>896</v>
      </c>
      <c r="CQ8" s="546" t="s">
        <v>896</v>
      </c>
      <c r="CR8" s="544" t="s">
        <v>499</v>
      </c>
    </row>
    <row r="9" spans="1:96" s="543" customFormat="1" outlineLevel="1" x14ac:dyDescent="0.2">
      <c r="A9" s="543">
        <v>25064</v>
      </c>
      <c r="C9" s="544" t="s">
        <v>749</v>
      </c>
      <c r="E9" s="543">
        <v>12</v>
      </c>
      <c r="F9" s="545">
        <v>10</v>
      </c>
      <c r="G9" s="543">
        <v>12</v>
      </c>
      <c r="H9" s="543">
        <v>4</v>
      </c>
      <c r="I9" s="543">
        <v>4</v>
      </c>
      <c r="J9" s="543">
        <v>11</v>
      </c>
      <c r="K9" s="543">
        <v>13</v>
      </c>
      <c r="L9" s="543">
        <v>5</v>
      </c>
      <c r="M9" s="543">
        <v>6</v>
      </c>
      <c r="N9" s="543">
        <v>8</v>
      </c>
      <c r="O9" s="543">
        <v>7</v>
      </c>
      <c r="P9" s="543">
        <v>7</v>
      </c>
      <c r="Q9" s="543">
        <v>8</v>
      </c>
      <c r="R9" s="543">
        <v>6</v>
      </c>
      <c r="S9" s="543">
        <v>7</v>
      </c>
      <c r="T9" s="543">
        <v>9</v>
      </c>
      <c r="U9" s="543">
        <v>6</v>
      </c>
      <c r="V9" s="546">
        <v>8</v>
      </c>
      <c r="W9" s="546">
        <v>9</v>
      </c>
      <c r="X9" s="546">
        <v>7</v>
      </c>
      <c r="Y9" s="546">
        <v>8</v>
      </c>
      <c r="Z9" s="546">
        <v>7</v>
      </c>
      <c r="AA9" s="546">
        <v>8</v>
      </c>
      <c r="AB9" s="546">
        <v>7</v>
      </c>
      <c r="AC9" s="546">
        <v>9</v>
      </c>
      <c r="AD9" s="546">
        <v>6</v>
      </c>
      <c r="AE9" s="546">
        <v>10</v>
      </c>
      <c r="AF9" s="546">
        <v>11</v>
      </c>
      <c r="AG9" s="546">
        <v>9</v>
      </c>
      <c r="AH9" s="546">
        <v>5</v>
      </c>
      <c r="AI9" s="546">
        <v>9</v>
      </c>
      <c r="AJ9" s="546">
        <v>7</v>
      </c>
      <c r="AK9" s="546">
        <v>8</v>
      </c>
      <c r="AL9" s="546">
        <v>8</v>
      </c>
      <c r="AM9" s="546">
        <v>13</v>
      </c>
      <c r="AN9" s="546">
        <v>8</v>
      </c>
      <c r="AO9" s="546">
        <v>12</v>
      </c>
      <c r="AP9" s="546">
        <v>10</v>
      </c>
      <c r="AQ9" s="546">
        <v>8</v>
      </c>
      <c r="AR9" s="546">
        <v>10</v>
      </c>
      <c r="AS9" s="546">
        <v>5</v>
      </c>
      <c r="AT9" s="546">
        <v>9</v>
      </c>
      <c r="AU9" s="546">
        <v>10</v>
      </c>
      <c r="AV9" s="546">
        <v>4</v>
      </c>
      <c r="AW9" s="546">
        <v>9</v>
      </c>
      <c r="AX9" s="546">
        <v>5</v>
      </c>
      <c r="AY9" s="546">
        <v>8</v>
      </c>
      <c r="AZ9" s="546">
        <v>4</v>
      </c>
      <c r="BA9" s="546">
        <v>9</v>
      </c>
      <c r="BB9" s="546">
        <v>12</v>
      </c>
      <c r="BC9" s="546">
        <v>6</v>
      </c>
      <c r="BD9" s="546">
        <v>8</v>
      </c>
      <c r="BE9" s="546">
        <v>9</v>
      </c>
      <c r="BF9" s="546">
        <v>9</v>
      </c>
      <c r="BG9" s="546">
        <v>7</v>
      </c>
      <c r="BH9" s="546">
        <v>2</v>
      </c>
      <c r="BI9" s="536"/>
      <c r="BJ9" s="543">
        <v>2</v>
      </c>
      <c r="BK9" s="543">
        <v>0</v>
      </c>
      <c r="BL9" s="536"/>
      <c r="BM9" s="543">
        <v>8</v>
      </c>
      <c r="BN9" s="543">
        <v>8</v>
      </c>
      <c r="BO9" s="543">
        <v>8</v>
      </c>
      <c r="BP9" s="543">
        <v>8</v>
      </c>
      <c r="BQ9" s="543">
        <v>8</v>
      </c>
      <c r="BR9" s="543">
        <v>8</v>
      </c>
      <c r="BS9" s="543">
        <v>89</v>
      </c>
      <c r="BT9" s="536"/>
      <c r="BU9" s="543">
        <v>8</v>
      </c>
      <c r="BV9" s="543">
        <v>8</v>
      </c>
      <c r="BW9" s="543">
        <v>8</v>
      </c>
      <c r="BX9" s="543">
        <v>8</v>
      </c>
      <c r="BY9" s="543">
        <v>8</v>
      </c>
      <c r="BZ9" s="543">
        <v>8</v>
      </c>
      <c r="CA9" s="545">
        <v>48</v>
      </c>
      <c r="CB9" s="545">
        <v>96</v>
      </c>
      <c r="CC9" s="536"/>
      <c r="CD9" s="543">
        <v>5</v>
      </c>
      <c r="CE9" s="543">
        <v>3</v>
      </c>
      <c r="CG9" s="543">
        <v>5</v>
      </c>
      <c r="CH9" s="543">
        <v>3</v>
      </c>
      <c r="CI9" s="543">
        <v>4</v>
      </c>
      <c r="CJ9" s="543">
        <v>4</v>
      </c>
      <c r="CK9" s="543">
        <v>4</v>
      </c>
      <c r="CL9" s="543">
        <v>4</v>
      </c>
      <c r="CM9" s="543">
        <v>4</v>
      </c>
      <c r="CN9" s="543">
        <v>4</v>
      </c>
      <c r="CO9" s="546">
        <v>3</v>
      </c>
      <c r="CP9" s="546">
        <v>4</v>
      </c>
      <c r="CQ9" s="546">
        <v>3</v>
      </c>
      <c r="CR9" s="544" t="s">
        <v>499</v>
      </c>
    </row>
    <row r="10" spans="1:96" s="532" customFormat="1" outlineLevel="1" x14ac:dyDescent="0.2">
      <c r="A10" s="543">
        <v>46821</v>
      </c>
      <c r="C10" s="544" t="s">
        <v>750</v>
      </c>
      <c r="F10" s="53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8"/>
      <c r="AK10" s="548"/>
      <c r="AL10" s="548"/>
      <c r="AM10" s="548"/>
      <c r="AN10" s="548"/>
      <c r="AO10" s="548"/>
      <c r="AP10" s="548"/>
      <c r="AQ10" s="548"/>
      <c r="AR10" s="546">
        <v>1</v>
      </c>
      <c r="AS10" s="546">
        <v>1</v>
      </c>
      <c r="AT10" s="546" t="s">
        <v>896</v>
      </c>
      <c r="AU10" s="546" t="s">
        <v>896</v>
      </c>
      <c r="AV10" s="546" t="s">
        <v>896</v>
      </c>
      <c r="AW10" s="546" t="s">
        <v>896</v>
      </c>
      <c r="AX10" s="546" t="s">
        <v>896</v>
      </c>
      <c r="AY10" s="546" t="s">
        <v>896</v>
      </c>
      <c r="AZ10" s="546" t="s">
        <v>896</v>
      </c>
      <c r="BA10" s="546" t="s">
        <v>896</v>
      </c>
      <c r="BB10" s="546" t="s">
        <v>896</v>
      </c>
      <c r="BC10" s="546" t="s">
        <v>896</v>
      </c>
      <c r="BD10" s="546" t="s">
        <v>896</v>
      </c>
      <c r="BE10" s="546" t="s">
        <v>896</v>
      </c>
      <c r="BF10" s="546" t="s">
        <v>896</v>
      </c>
      <c r="BG10" s="546" t="s">
        <v>896</v>
      </c>
      <c r="BH10" s="546" t="s">
        <v>896</v>
      </c>
      <c r="BI10" s="536"/>
      <c r="BJ10" s="532">
        <v>0</v>
      </c>
      <c r="BK10" s="543">
        <v>0</v>
      </c>
      <c r="BL10" s="536"/>
      <c r="BM10" s="532">
        <v>0</v>
      </c>
      <c r="BN10" s="532">
        <v>0</v>
      </c>
      <c r="BO10" s="532">
        <v>0</v>
      </c>
      <c r="BP10" s="532">
        <v>0</v>
      </c>
      <c r="BQ10" s="532">
        <v>0</v>
      </c>
      <c r="BR10" s="532">
        <v>0</v>
      </c>
      <c r="BS10" s="543">
        <v>0</v>
      </c>
      <c r="BT10" s="536"/>
      <c r="CA10" s="545">
        <v>0</v>
      </c>
      <c r="CB10" s="545">
        <v>0</v>
      </c>
      <c r="CC10" s="536"/>
      <c r="CO10" s="547"/>
      <c r="CP10" s="547"/>
      <c r="CQ10" s="547"/>
      <c r="CR10" s="544" t="s">
        <v>499</v>
      </c>
    </row>
    <row r="11" spans="1:96" s="549" customFormat="1" ht="15.75" thickBot="1" x14ac:dyDescent="0.25">
      <c r="A11" s="549" t="s">
        <v>896</v>
      </c>
      <c r="C11" s="550"/>
      <c r="F11" s="551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36"/>
      <c r="BK11" s="549" t="s">
        <v>896</v>
      </c>
      <c r="BL11" s="536"/>
      <c r="BS11" s="543"/>
      <c r="BT11" s="536"/>
      <c r="CA11" s="551"/>
      <c r="CB11" s="551"/>
      <c r="CC11" s="536"/>
      <c r="CK11" s="549" t="s">
        <v>896</v>
      </c>
      <c r="CL11" s="549" t="s">
        <v>896</v>
      </c>
      <c r="CM11" s="549" t="s">
        <v>896</v>
      </c>
      <c r="CN11" s="549" t="s">
        <v>896</v>
      </c>
      <c r="CO11" s="549" t="s">
        <v>896</v>
      </c>
      <c r="CP11" s="549" t="s">
        <v>896</v>
      </c>
      <c r="CQ11" s="549" t="s">
        <v>896</v>
      </c>
      <c r="CR11" s="550"/>
    </row>
    <row r="12" spans="1:96" s="554" customFormat="1" ht="15.75" thickBot="1" x14ac:dyDescent="0.25">
      <c r="A12" s="553" t="s">
        <v>776</v>
      </c>
      <c r="C12" s="555" t="s">
        <v>751</v>
      </c>
      <c r="E12" s="554">
        <v>17</v>
      </c>
      <c r="F12" s="556">
        <v>27</v>
      </c>
      <c r="G12" s="556">
        <v>31</v>
      </c>
      <c r="H12" s="556">
        <v>20</v>
      </c>
      <c r="I12" s="556">
        <v>27</v>
      </c>
      <c r="J12" s="556">
        <v>16</v>
      </c>
      <c r="K12" s="556">
        <v>21</v>
      </c>
      <c r="L12" s="556">
        <v>22</v>
      </c>
      <c r="M12" s="556">
        <v>19</v>
      </c>
      <c r="N12" s="556">
        <v>27</v>
      </c>
      <c r="O12" s="556">
        <v>32</v>
      </c>
      <c r="P12" s="556">
        <v>37</v>
      </c>
      <c r="Q12" s="556">
        <v>22</v>
      </c>
      <c r="R12" s="556">
        <v>23</v>
      </c>
      <c r="S12" s="556">
        <v>22</v>
      </c>
      <c r="T12" s="556">
        <v>37</v>
      </c>
      <c r="U12" s="556">
        <v>17</v>
      </c>
      <c r="V12" s="556">
        <v>31</v>
      </c>
      <c r="W12" s="556">
        <v>20</v>
      </c>
      <c r="X12" s="556">
        <v>26</v>
      </c>
      <c r="Y12" s="556">
        <v>32</v>
      </c>
      <c r="Z12" s="556">
        <v>44</v>
      </c>
      <c r="AA12" s="556">
        <v>49</v>
      </c>
      <c r="AB12" s="556">
        <v>42</v>
      </c>
      <c r="AC12" s="556">
        <v>52</v>
      </c>
      <c r="AD12" s="556">
        <v>45</v>
      </c>
      <c r="AE12" s="556">
        <v>27</v>
      </c>
      <c r="AF12" s="556">
        <v>32</v>
      </c>
      <c r="AG12" s="556">
        <v>38</v>
      </c>
      <c r="AH12" s="556">
        <v>35</v>
      </c>
      <c r="AI12" s="556">
        <v>46</v>
      </c>
      <c r="AJ12" s="556">
        <v>57</v>
      </c>
      <c r="AK12" s="556">
        <v>65</v>
      </c>
      <c r="AL12" s="556">
        <v>55</v>
      </c>
      <c r="AM12" s="556">
        <v>51</v>
      </c>
      <c r="AN12" s="556">
        <v>54</v>
      </c>
      <c r="AO12" s="556">
        <v>75</v>
      </c>
      <c r="AP12" s="556">
        <v>72</v>
      </c>
      <c r="AQ12" s="556">
        <v>78</v>
      </c>
      <c r="AR12" s="556">
        <v>75</v>
      </c>
      <c r="AS12" s="556">
        <v>77</v>
      </c>
      <c r="AT12" s="556">
        <v>73</v>
      </c>
      <c r="AU12" s="556">
        <v>86</v>
      </c>
      <c r="AV12" s="556">
        <v>76</v>
      </c>
      <c r="AW12" s="556">
        <v>80</v>
      </c>
      <c r="AX12" s="556">
        <v>84</v>
      </c>
      <c r="AY12" s="556">
        <v>77</v>
      </c>
      <c r="AZ12" s="556">
        <v>86</v>
      </c>
      <c r="BA12" s="556">
        <v>87</v>
      </c>
      <c r="BB12" s="556">
        <v>85</v>
      </c>
      <c r="BC12" s="556">
        <v>83</v>
      </c>
      <c r="BD12" s="556">
        <v>92</v>
      </c>
      <c r="BE12" s="556">
        <v>80</v>
      </c>
      <c r="BF12" s="556">
        <v>92</v>
      </c>
      <c r="BG12" s="556">
        <v>83</v>
      </c>
      <c r="BH12" s="556">
        <v>85</v>
      </c>
      <c r="BI12" s="542"/>
      <c r="BJ12" s="556">
        <v>84</v>
      </c>
      <c r="BK12" s="556">
        <v>1</v>
      </c>
      <c r="BL12" s="542"/>
      <c r="BM12" s="556">
        <v>74</v>
      </c>
      <c r="BN12" s="556">
        <v>77</v>
      </c>
      <c r="BO12" s="556">
        <v>77</v>
      </c>
      <c r="BP12" s="556">
        <v>77</v>
      </c>
      <c r="BQ12" s="556">
        <v>77</v>
      </c>
      <c r="BR12" s="556">
        <v>77</v>
      </c>
      <c r="BS12" s="556">
        <v>974</v>
      </c>
      <c r="BT12" s="542"/>
      <c r="BU12" s="556">
        <v>81</v>
      </c>
      <c r="BV12" s="556">
        <v>80</v>
      </c>
      <c r="BW12" s="556">
        <v>89</v>
      </c>
      <c r="BX12" s="556">
        <v>89</v>
      </c>
      <c r="BY12" s="556">
        <v>89</v>
      </c>
      <c r="BZ12" s="556">
        <v>89</v>
      </c>
      <c r="CA12" s="556">
        <v>517</v>
      </c>
      <c r="CB12" s="556">
        <v>1034</v>
      </c>
      <c r="CC12" s="542"/>
      <c r="CK12" s="554" t="s">
        <v>896</v>
      </c>
      <c r="CL12" s="554" t="s">
        <v>896</v>
      </c>
      <c r="CM12" s="554" t="s">
        <v>896</v>
      </c>
      <c r="CN12" s="554" t="s">
        <v>896</v>
      </c>
      <c r="CO12" s="554" t="s">
        <v>896</v>
      </c>
      <c r="CP12" s="554" t="s">
        <v>896</v>
      </c>
      <c r="CQ12" s="554" t="s">
        <v>896</v>
      </c>
      <c r="CR12" s="555"/>
    </row>
    <row r="13" spans="1:96" s="543" customFormat="1" outlineLevel="1" x14ac:dyDescent="0.2">
      <c r="A13" s="543">
        <v>44552</v>
      </c>
      <c r="C13" s="544" t="s">
        <v>752</v>
      </c>
      <c r="F13" s="545"/>
      <c r="Q13" s="543" t="s">
        <v>896</v>
      </c>
      <c r="R13" s="543" t="s">
        <v>896</v>
      </c>
      <c r="S13" s="543" t="s">
        <v>896</v>
      </c>
      <c r="T13" s="543" t="s">
        <v>896</v>
      </c>
      <c r="U13" s="543" t="s">
        <v>896</v>
      </c>
      <c r="V13" s="543" t="s">
        <v>896</v>
      </c>
      <c r="W13" s="543" t="s">
        <v>896</v>
      </c>
      <c r="X13" s="543" t="s">
        <v>896</v>
      </c>
      <c r="Y13" s="543" t="s">
        <v>896</v>
      </c>
      <c r="Z13" s="543" t="s">
        <v>896</v>
      </c>
      <c r="AA13" s="543" t="s">
        <v>896</v>
      </c>
      <c r="AB13" s="543" t="s">
        <v>896</v>
      </c>
      <c r="AC13" s="543" t="s">
        <v>896</v>
      </c>
      <c r="AD13" s="543" t="s">
        <v>896</v>
      </c>
      <c r="AE13" s="543" t="s">
        <v>896</v>
      </c>
      <c r="AF13" s="543" t="s">
        <v>896</v>
      </c>
      <c r="AG13" s="543" t="s">
        <v>896</v>
      </c>
      <c r="AH13" s="543" t="s">
        <v>896</v>
      </c>
      <c r="AI13" s="543" t="s">
        <v>896</v>
      </c>
      <c r="AJ13" s="557" t="s">
        <v>896</v>
      </c>
      <c r="AK13" s="557" t="s">
        <v>896</v>
      </c>
      <c r="AL13" s="557" t="s">
        <v>896</v>
      </c>
      <c r="AM13" s="557" t="s">
        <v>896</v>
      </c>
      <c r="AN13" s="557" t="s">
        <v>896</v>
      </c>
      <c r="AO13" s="557" t="s">
        <v>896</v>
      </c>
      <c r="AP13" s="557" t="s">
        <v>896</v>
      </c>
      <c r="AQ13" s="557" t="s">
        <v>896</v>
      </c>
      <c r="AR13" s="557" t="s">
        <v>896</v>
      </c>
      <c r="AS13" s="557">
        <v>0</v>
      </c>
      <c r="AT13" s="557">
        <v>0</v>
      </c>
      <c r="AU13" s="557">
        <v>0</v>
      </c>
      <c r="AV13" s="557">
        <v>0</v>
      </c>
      <c r="AW13" s="557">
        <v>0</v>
      </c>
      <c r="AX13" s="557">
        <v>0</v>
      </c>
      <c r="AY13" s="558" t="s">
        <v>896</v>
      </c>
      <c r="AZ13" s="558" t="s">
        <v>896</v>
      </c>
      <c r="BA13" s="558" t="s">
        <v>896</v>
      </c>
      <c r="BB13" s="558">
        <v>4</v>
      </c>
      <c r="BC13" s="558" t="s">
        <v>896</v>
      </c>
      <c r="BD13" s="558" t="s">
        <v>896</v>
      </c>
      <c r="BE13" s="558" t="s">
        <v>896</v>
      </c>
      <c r="BF13" s="558">
        <v>4</v>
      </c>
      <c r="BG13" s="558" t="s">
        <v>896</v>
      </c>
      <c r="BH13" s="558" t="s">
        <v>896</v>
      </c>
      <c r="BI13" s="536"/>
      <c r="BJ13" s="543">
        <v>0</v>
      </c>
      <c r="BK13" s="559">
        <v>0</v>
      </c>
      <c r="BL13" s="536"/>
      <c r="BM13" s="543">
        <v>0</v>
      </c>
      <c r="BN13" s="543">
        <v>4</v>
      </c>
      <c r="BO13" s="543">
        <v>4</v>
      </c>
      <c r="BP13" s="543">
        <v>4</v>
      </c>
      <c r="BQ13" s="543">
        <v>4</v>
      </c>
      <c r="BR13" s="543">
        <v>4</v>
      </c>
      <c r="BS13" s="543">
        <v>24</v>
      </c>
      <c r="BT13" s="536"/>
      <c r="BU13" s="543">
        <v>1</v>
      </c>
      <c r="BV13" s="543">
        <v>1</v>
      </c>
      <c r="BW13" s="543">
        <v>1</v>
      </c>
      <c r="BX13" s="543">
        <v>1</v>
      </c>
      <c r="BY13" s="543">
        <v>1</v>
      </c>
      <c r="BZ13" s="543">
        <v>1</v>
      </c>
      <c r="CA13" s="545">
        <v>6</v>
      </c>
      <c r="CB13" s="545">
        <v>12</v>
      </c>
      <c r="CC13" s="536"/>
      <c r="CK13" s="543" t="s">
        <v>896</v>
      </c>
      <c r="CL13" s="543" t="s">
        <v>896</v>
      </c>
      <c r="CM13" s="543" t="s">
        <v>896</v>
      </c>
      <c r="CN13" s="543" t="s">
        <v>896</v>
      </c>
      <c r="CO13" s="543" t="s">
        <v>896</v>
      </c>
      <c r="CP13" s="543" t="s">
        <v>896</v>
      </c>
      <c r="CQ13" s="543" t="s">
        <v>896</v>
      </c>
      <c r="CR13" s="544" t="s">
        <v>753</v>
      </c>
    </row>
    <row r="14" spans="1:96" s="543" customFormat="1" outlineLevel="1" x14ac:dyDescent="0.2">
      <c r="A14" s="559">
        <v>37655</v>
      </c>
      <c r="C14" s="560" t="s">
        <v>754</v>
      </c>
      <c r="F14" s="545"/>
      <c r="AJ14" s="557"/>
      <c r="AK14" s="557"/>
      <c r="AL14" s="557"/>
      <c r="AM14" s="557"/>
      <c r="AN14" s="557"/>
      <c r="AO14" s="557"/>
      <c r="AP14" s="557"/>
      <c r="AQ14" s="557"/>
      <c r="AR14" s="561" t="s">
        <v>896</v>
      </c>
      <c r="AS14" s="561">
        <v>0</v>
      </c>
      <c r="AT14" s="561">
        <v>0</v>
      </c>
      <c r="AU14" s="561">
        <v>0</v>
      </c>
      <c r="AV14" s="561">
        <v>0</v>
      </c>
      <c r="AW14" s="561">
        <v>0</v>
      </c>
      <c r="AX14" s="561">
        <v>0</v>
      </c>
      <c r="AY14" s="558" t="s">
        <v>896</v>
      </c>
      <c r="AZ14" s="558">
        <v>2</v>
      </c>
      <c r="BA14" s="558" t="s">
        <v>896</v>
      </c>
      <c r="BB14" s="558" t="s">
        <v>896</v>
      </c>
      <c r="BC14" s="558" t="s">
        <v>896</v>
      </c>
      <c r="BD14" s="558" t="s">
        <v>896</v>
      </c>
      <c r="BE14" s="558" t="s">
        <v>896</v>
      </c>
      <c r="BF14" s="558" t="s">
        <v>896</v>
      </c>
      <c r="BG14" s="558">
        <v>2</v>
      </c>
      <c r="BH14" s="558" t="s">
        <v>896</v>
      </c>
      <c r="BI14" s="536"/>
      <c r="BJ14" s="543">
        <v>0</v>
      </c>
      <c r="BK14" s="559">
        <v>0</v>
      </c>
      <c r="BL14" s="536"/>
      <c r="BM14" s="543">
        <v>0</v>
      </c>
      <c r="BN14" s="543">
        <v>0</v>
      </c>
      <c r="BO14" s="543">
        <v>0</v>
      </c>
      <c r="BP14" s="543">
        <v>0</v>
      </c>
      <c r="BQ14" s="543">
        <v>0</v>
      </c>
      <c r="BR14" s="543">
        <v>0</v>
      </c>
      <c r="BS14" s="543">
        <v>2</v>
      </c>
      <c r="BT14" s="536"/>
      <c r="BU14" s="543">
        <v>1</v>
      </c>
      <c r="BV14" s="543">
        <v>1</v>
      </c>
      <c r="BW14" s="543">
        <v>1</v>
      </c>
      <c r="BX14" s="543">
        <v>1</v>
      </c>
      <c r="BY14" s="543">
        <v>1</v>
      </c>
      <c r="BZ14" s="543">
        <v>1</v>
      </c>
      <c r="CA14" s="545">
        <v>6</v>
      </c>
      <c r="CB14" s="545">
        <v>12</v>
      </c>
      <c r="CC14" s="536"/>
      <c r="CR14" s="544" t="s">
        <v>753</v>
      </c>
    </row>
    <row r="15" spans="1:96" s="543" customFormat="1" outlineLevel="1" x14ac:dyDescent="0.2">
      <c r="A15" s="559">
        <v>26369</v>
      </c>
      <c r="C15" s="560" t="s">
        <v>755</v>
      </c>
      <c r="F15" s="545"/>
      <c r="AJ15" s="557"/>
      <c r="AK15" s="557"/>
      <c r="AL15" s="557"/>
      <c r="AM15" s="557"/>
      <c r="AN15" s="557"/>
      <c r="AO15" s="557"/>
      <c r="AP15" s="557"/>
      <c r="AQ15" s="557"/>
      <c r="AR15" s="561" t="s">
        <v>896</v>
      </c>
      <c r="AS15" s="561">
        <v>0</v>
      </c>
      <c r="AT15" s="561">
        <v>0</v>
      </c>
      <c r="AU15" s="561">
        <v>0</v>
      </c>
      <c r="AV15" s="561">
        <v>0</v>
      </c>
      <c r="AW15" s="561">
        <v>0</v>
      </c>
      <c r="AX15" s="561">
        <v>0</v>
      </c>
      <c r="AY15" s="558" t="s">
        <v>896</v>
      </c>
      <c r="AZ15" s="558" t="s">
        <v>896</v>
      </c>
      <c r="BA15" s="558" t="s">
        <v>896</v>
      </c>
      <c r="BB15" s="558">
        <v>1</v>
      </c>
      <c r="BC15" s="558" t="s">
        <v>896</v>
      </c>
      <c r="BD15" s="558" t="s">
        <v>896</v>
      </c>
      <c r="BE15" s="558" t="s">
        <v>896</v>
      </c>
      <c r="BF15" s="558" t="s">
        <v>896</v>
      </c>
      <c r="BG15" s="558" t="s">
        <v>896</v>
      </c>
      <c r="BH15" s="558" t="s">
        <v>896</v>
      </c>
      <c r="BI15" s="536"/>
      <c r="BJ15" s="543">
        <v>0</v>
      </c>
      <c r="BK15" s="559">
        <v>0</v>
      </c>
      <c r="BL15" s="536"/>
      <c r="BM15" s="543">
        <v>0</v>
      </c>
      <c r="BN15" s="543">
        <v>0</v>
      </c>
      <c r="BO15" s="543">
        <v>0</v>
      </c>
      <c r="BP15" s="543">
        <v>0</v>
      </c>
      <c r="BQ15" s="543">
        <v>0</v>
      </c>
      <c r="BR15" s="543">
        <v>0</v>
      </c>
      <c r="BS15" s="543">
        <v>0</v>
      </c>
      <c r="BT15" s="536"/>
      <c r="BU15" s="543">
        <v>0</v>
      </c>
      <c r="BV15" s="543">
        <v>0</v>
      </c>
      <c r="BW15" s="543">
        <v>0</v>
      </c>
      <c r="BX15" s="543">
        <v>0</v>
      </c>
      <c r="BY15" s="543">
        <v>0</v>
      </c>
      <c r="BZ15" s="543">
        <v>0</v>
      </c>
      <c r="CA15" s="545">
        <v>0</v>
      </c>
      <c r="CB15" s="545">
        <v>0</v>
      </c>
      <c r="CC15" s="536"/>
      <c r="CR15" s="544" t="s">
        <v>499</v>
      </c>
    </row>
    <row r="16" spans="1:96" s="543" customFormat="1" outlineLevel="1" x14ac:dyDescent="0.2">
      <c r="A16" s="559" t="e">
        <v>#N/A</v>
      </c>
      <c r="C16" s="560" t="s">
        <v>756</v>
      </c>
      <c r="F16" s="545"/>
      <c r="AJ16" s="557"/>
      <c r="AK16" s="557"/>
      <c r="AL16" s="557"/>
      <c r="AM16" s="557"/>
      <c r="AN16" s="557"/>
      <c r="AO16" s="557"/>
      <c r="AP16" s="557"/>
      <c r="AQ16" s="557"/>
      <c r="AR16" s="561" t="s">
        <v>896</v>
      </c>
      <c r="AS16" s="561">
        <v>0</v>
      </c>
      <c r="AT16" s="561">
        <v>0</v>
      </c>
      <c r="AU16" s="561">
        <v>0</v>
      </c>
      <c r="AV16" s="561">
        <v>0</v>
      </c>
      <c r="AW16" s="561">
        <v>0</v>
      </c>
      <c r="AX16" s="561">
        <v>0</v>
      </c>
      <c r="AY16" s="558" t="s">
        <v>896</v>
      </c>
      <c r="AZ16" s="558" t="s">
        <v>896</v>
      </c>
      <c r="BA16" s="558" t="s">
        <v>896</v>
      </c>
      <c r="BB16" s="558" t="s">
        <v>896</v>
      </c>
      <c r="BC16" s="558" t="s">
        <v>896</v>
      </c>
      <c r="BD16" s="558" t="s">
        <v>896</v>
      </c>
      <c r="BE16" s="558" t="s">
        <v>896</v>
      </c>
      <c r="BF16" s="558" t="s">
        <v>896</v>
      </c>
      <c r="BG16" s="558" t="s">
        <v>896</v>
      </c>
      <c r="BH16" s="558" t="s">
        <v>896</v>
      </c>
      <c r="BI16" s="536"/>
      <c r="BJ16" s="559">
        <v>0</v>
      </c>
      <c r="BK16" s="559">
        <v>0</v>
      </c>
      <c r="BL16" s="536"/>
      <c r="BM16" s="559">
        <v>0</v>
      </c>
      <c r="BN16" s="559">
        <v>0</v>
      </c>
      <c r="BO16" s="559">
        <v>0</v>
      </c>
      <c r="BP16" s="559">
        <v>0</v>
      </c>
      <c r="BQ16" s="559">
        <v>0</v>
      </c>
      <c r="BR16" s="559">
        <v>0</v>
      </c>
      <c r="BS16" s="543">
        <v>0</v>
      </c>
      <c r="BT16" s="536"/>
      <c r="BU16" s="559">
        <v>5</v>
      </c>
      <c r="BV16" s="559">
        <v>5</v>
      </c>
      <c r="BW16" s="559">
        <v>14</v>
      </c>
      <c r="BX16" s="559">
        <v>14</v>
      </c>
      <c r="BY16" s="559">
        <v>14</v>
      </c>
      <c r="BZ16" s="559">
        <v>14</v>
      </c>
      <c r="CA16" s="545">
        <v>66</v>
      </c>
      <c r="CB16" s="545">
        <v>132</v>
      </c>
      <c r="CC16" s="536"/>
      <c r="CR16" s="544" t="s">
        <v>499</v>
      </c>
    </row>
    <row r="17" spans="1:96" s="559" customFormat="1" outlineLevel="1" x14ac:dyDescent="0.2">
      <c r="A17" s="559">
        <v>44958</v>
      </c>
      <c r="C17" s="560" t="s">
        <v>757</v>
      </c>
      <c r="F17" s="562"/>
      <c r="AG17" s="559" t="s">
        <v>896</v>
      </c>
      <c r="AH17" s="559">
        <v>1</v>
      </c>
      <c r="AI17" s="559" t="s">
        <v>896</v>
      </c>
      <c r="AJ17" s="561" t="s">
        <v>896</v>
      </c>
      <c r="AK17" s="561" t="s">
        <v>896</v>
      </c>
      <c r="AL17" s="561" t="s">
        <v>896</v>
      </c>
      <c r="AM17" s="561" t="s">
        <v>896</v>
      </c>
      <c r="AN17" s="561" t="s">
        <v>896</v>
      </c>
      <c r="AO17" s="561" t="s">
        <v>896</v>
      </c>
      <c r="AP17" s="561" t="s">
        <v>896</v>
      </c>
      <c r="AQ17" s="561" t="s">
        <v>896</v>
      </c>
      <c r="AR17" s="561" t="s">
        <v>896</v>
      </c>
      <c r="AS17" s="561">
        <v>0</v>
      </c>
      <c r="AT17" s="561">
        <v>0</v>
      </c>
      <c r="AU17" s="561">
        <v>0</v>
      </c>
      <c r="AV17" s="561">
        <v>0</v>
      </c>
      <c r="AW17" s="561">
        <v>0</v>
      </c>
      <c r="AX17" s="561">
        <v>0</v>
      </c>
      <c r="AY17" s="558" t="s">
        <v>896</v>
      </c>
      <c r="AZ17" s="558" t="s">
        <v>896</v>
      </c>
      <c r="BA17" s="558" t="s">
        <v>896</v>
      </c>
      <c r="BB17" s="558" t="s">
        <v>896</v>
      </c>
      <c r="BC17" s="558" t="s">
        <v>896</v>
      </c>
      <c r="BD17" s="558" t="s">
        <v>896</v>
      </c>
      <c r="BE17" s="558" t="s">
        <v>896</v>
      </c>
      <c r="BF17" s="558" t="s">
        <v>896</v>
      </c>
      <c r="BG17" s="558" t="s">
        <v>896</v>
      </c>
      <c r="BH17" s="558" t="s">
        <v>896</v>
      </c>
      <c r="BI17" s="536"/>
      <c r="BJ17" s="559">
        <v>0</v>
      </c>
      <c r="BK17" s="559">
        <v>0</v>
      </c>
      <c r="BL17" s="536"/>
      <c r="BM17" s="559">
        <v>0</v>
      </c>
      <c r="BN17" s="559">
        <v>0</v>
      </c>
      <c r="BO17" s="559">
        <v>0</v>
      </c>
      <c r="BP17" s="559">
        <v>0</v>
      </c>
      <c r="BQ17" s="559">
        <v>0</v>
      </c>
      <c r="BR17" s="559">
        <v>0</v>
      </c>
      <c r="BS17" s="543">
        <v>0</v>
      </c>
      <c r="BT17" s="536"/>
      <c r="BU17" s="559">
        <v>0</v>
      </c>
      <c r="BV17" s="559">
        <v>0</v>
      </c>
      <c r="BW17" s="559">
        <v>0</v>
      </c>
      <c r="BX17" s="559">
        <v>0</v>
      </c>
      <c r="BY17" s="559">
        <v>0</v>
      </c>
      <c r="BZ17" s="559">
        <v>0</v>
      </c>
      <c r="CA17" s="545">
        <v>0</v>
      </c>
      <c r="CB17" s="545">
        <v>0</v>
      </c>
      <c r="CC17" s="536"/>
      <c r="CR17" s="544" t="s">
        <v>499</v>
      </c>
    </row>
    <row r="18" spans="1:96" s="559" customFormat="1" outlineLevel="1" x14ac:dyDescent="0.2">
      <c r="A18" s="559">
        <v>39149</v>
      </c>
      <c r="C18" s="560" t="s">
        <v>758</v>
      </c>
      <c r="F18" s="562"/>
      <c r="AG18" s="559" t="s">
        <v>896</v>
      </c>
      <c r="AH18" s="559" t="s">
        <v>896</v>
      </c>
      <c r="AI18" s="559" t="s">
        <v>896</v>
      </c>
      <c r="AJ18" s="559" t="s">
        <v>896</v>
      </c>
      <c r="AK18" s="559" t="s">
        <v>896</v>
      </c>
      <c r="AL18" s="559" t="s">
        <v>896</v>
      </c>
      <c r="AM18" s="559" t="s">
        <v>896</v>
      </c>
      <c r="AN18" s="559" t="s">
        <v>896</v>
      </c>
      <c r="AO18" s="559" t="s">
        <v>896</v>
      </c>
      <c r="AP18" s="559" t="s">
        <v>896</v>
      </c>
      <c r="AQ18" s="559" t="s">
        <v>896</v>
      </c>
      <c r="AR18" s="559" t="s">
        <v>896</v>
      </c>
      <c r="AS18" s="559">
        <v>0</v>
      </c>
      <c r="AT18" s="559">
        <v>0</v>
      </c>
      <c r="AU18" s="559">
        <v>0</v>
      </c>
      <c r="AV18" s="559">
        <v>0</v>
      </c>
      <c r="AW18" s="559">
        <v>0</v>
      </c>
      <c r="AX18" s="559">
        <v>0</v>
      </c>
      <c r="AY18" s="558" t="s">
        <v>896</v>
      </c>
      <c r="AZ18" s="558" t="s">
        <v>896</v>
      </c>
      <c r="BA18" s="558" t="s">
        <v>896</v>
      </c>
      <c r="BB18" s="558" t="s">
        <v>896</v>
      </c>
      <c r="BC18" s="558" t="s">
        <v>896</v>
      </c>
      <c r="BD18" s="558" t="s">
        <v>896</v>
      </c>
      <c r="BE18" s="558" t="s">
        <v>896</v>
      </c>
      <c r="BF18" s="558" t="s">
        <v>896</v>
      </c>
      <c r="BG18" s="558" t="s">
        <v>896</v>
      </c>
      <c r="BH18" s="558" t="s">
        <v>896</v>
      </c>
      <c r="BI18" s="536"/>
      <c r="BJ18" s="559">
        <v>0</v>
      </c>
      <c r="BK18" s="559">
        <v>0</v>
      </c>
      <c r="BL18" s="536"/>
      <c r="BM18" s="559">
        <v>0</v>
      </c>
      <c r="BN18" s="559">
        <v>0</v>
      </c>
      <c r="BO18" s="559">
        <v>0</v>
      </c>
      <c r="BP18" s="559">
        <v>0</v>
      </c>
      <c r="BQ18" s="559">
        <v>0</v>
      </c>
      <c r="BR18" s="559">
        <v>0</v>
      </c>
      <c r="BS18" s="543">
        <v>0</v>
      </c>
      <c r="BT18" s="536"/>
      <c r="BU18" s="559">
        <v>0</v>
      </c>
      <c r="BV18" s="559">
        <v>0</v>
      </c>
      <c r="BW18" s="559">
        <v>0</v>
      </c>
      <c r="BX18" s="559">
        <v>0</v>
      </c>
      <c r="BY18" s="559">
        <v>0</v>
      </c>
      <c r="BZ18" s="559">
        <v>0</v>
      </c>
      <c r="CA18" s="545">
        <v>0</v>
      </c>
      <c r="CB18" s="545">
        <v>0</v>
      </c>
      <c r="CC18" s="536"/>
      <c r="CR18" s="544" t="s">
        <v>499</v>
      </c>
    </row>
    <row r="19" spans="1:96" s="559" customFormat="1" outlineLevel="1" x14ac:dyDescent="0.2">
      <c r="A19" s="559">
        <v>46482</v>
      </c>
      <c r="C19" s="560" t="s">
        <v>759</v>
      </c>
      <c r="F19" s="562"/>
      <c r="AG19" s="559" t="s">
        <v>896</v>
      </c>
      <c r="AH19" s="559">
        <v>2</v>
      </c>
      <c r="AI19" s="559">
        <v>12</v>
      </c>
      <c r="AJ19" s="559">
        <v>10</v>
      </c>
      <c r="AK19" s="559">
        <v>17</v>
      </c>
      <c r="AL19" s="559">
        <v>15</v>
      </c>
      <c r="AM19" s="559">
        <v>7</v>
      </c>
      <c r="AN19" s="559">
        <v>13</v>
      </c>
      <c r="AO19" s="559">
        <v>27</v>
      </c>
      <c r="AP19" s="559">
        <v>18</v>
      </c>
      <c r="AQ19" s="558">
        <v>18</v>
      </c>
      <c r="AR19" s="558">
        <v>23</v>
      </c>
      <c r="AS19" s="558">
        <v>21</v>
      </c>
      <c r="AT19" s="558">
        <v>16</v>
      </c>
      <c r="AU19" s="558">
        <v>20</v>
      </c>
      <c r="AV19" s="558">
        <v>19</v>
      </c>
      <c r="AW19" s="558">
        <v>24</v>
      </c>
      <c r="AX19" s="558">
        <v>12</v>
      </c>
      <c r="AY19" s="558" t="s">
        <v>896</v>
      </c>
      <c r="AZ19" s="558">
        <v>15</v>
      </c>
      <c r="BA19" s="558">
        <v>24</v>
      </c>
      <c r="BB19" s="558">
        <v>15</v>
      </c>
      <c r="BC19" s="558">
        <v>10</v>
      </c>
      <c r="BD19" s="558">
        <v>20</v>
      </c>
      <c r="BE19" s="558">
        <v>11</v>
      </c>
      <c r="BF19" s="558">
        <v>16</v>
      </c>
      <c r="BG19" s="558">
        <v>15</v>
      </c>
      <c r="BH19" s="558">
        <v>13</v>
      </c>
      <c r="BI19" s="536"/>
      <c r="BJ19" s="559">
        <v>14</v>
      </c>
      <c r="BK19" s="559">
        <v>-1</v>
      </c>
      <c r="BL19" s="536"/>
      <c r="BM19" s="559">
        <v>6</v>
      </c>
      <c r="BN19" s="559">
        <v>0</v>
      </c>
      <c r="BO19" s="559">
        <v>0</v>
      </c>
      <c r="BP19" s="559">
        <v>0</v>
      </c>
      <c r="BQ19" s="559">
        <v>0</v>
      </c>
      <c r="BR19" s="559">
        <v>0</v>
      </c>
      <c r="BS19" s="543">
        <v>91</v>
      </c>
      <c r="BT19" s="536"/>
      <c r="BU19" s="559">
        <v>0</v>
      </c>
      <c r="BV19" s="559">
        <v>0</v>
      </c>
      <c r="BW19" s="559">
        <v>0</v>
      </c>
      <c r="BX19" s="559">
        <v>0</v>
      </c>
      <c r="BY19" s="559">
        <v>0</v>
      </c>
      <c r="BZ19" s="559">
        <v>0</v>
      </c>
      <c r="CA19" s="545">
        <v>0</v>
      </c>
      <c r="CB19" s="545">
        <v>0</v>
      </c>
      <c r="CC19" s="536"/>
      <c r="CR19" s="544" t="s">
        <v>760</v>
      </c>
    </row>
    <row r="20" spans="1:96" s="559" customFormat="1" outlineLevel="1" x14ac:dyDescent="0.2">
      <c r="A20" s="559">
        <v>28779</v>
      </c>
      <c r="C20" s="560" t="s">
        <v>761</v>
      </c>
      <c r="E20" s="559">
        <v>5</v>
      </c>
      <c r="F20" s="562">
        <v>5</v>
      </c>
      <c r="G20" s="559">
        <v>4</v>
      </c>
      <c r="H20" s="559">
        <v>8</v>
      </c>
      <c r="I20" s="559">
        <v>6</v>
      </c>
      <c r="J20" s="559">
        <v>4</v>
      </c>
      <c r="K20" s="559">
        <v>3</v>
      </c>
      <c r="L20" s="559">
        <v>7</v>
      </c>
      <c r="M20" s="559">
        <v>4</v>
      </c>
      <c r="N20" s="559">
        <v>6</v>
      </c>
      <c r="O20" s="559">
        <v>7</v>
      </c>
      <c r="P20" s="559">
        <v>6</v>
      </c>
      <c r="Q20" s="559">
        <v>6</v>
      </c>
      <c r="R20" s="559">
        <v>5</v>
      </c>
      <c r="S20" s="559">
        <v>10</v>
      </c>
      <c r="T20" s="559">
        <v>7</v>
      </c>
      <c r="U20" s="559">
        <v>5</v>
      </c>
      <c r="V20" s="558">
        <v>5</v>
      </c>
      <c r="W20" s="558">
        <v>6</v>
      </c>
      <c r="X20" s="558">
        <v>5</v>
      </c>
      <c r="Y20" s="558">
        <v>8</v>
      </c>
      <c r="Z20" s="558">
        <v>12</v>
      </c>
      <c r="AA20" s="558">
        <v>8</v>
      </c>
      <c r="AB20" s="558" t="s">
        <v>896</v>
      </c>
      <c r="AC20" s="558">
        <v>13</v>
      </c>
      <c r="AD20" s="558">
        <v>2</v>
      </c>
      <c r="AE20" s="558" t="s">
        <v>896</v>
      </c>
      <c r="AF20" s="558">
        <v>2</v>
      </c>
      <c r="AG20" s="558" t="s">
        <v>896</v>
      </c>
      <c r="AH20" s="558">
        <v>1</v>
      </c>
      <c r="AI20" s="558" t="s">
        <v>896</v>
      </c>
      <c r="AJ20" s="558">
        <v>1</v>
      </c>
      <c r="AK20" s="558">
        <v>2</v>
      </c>
      <c r="AL20" s="558">
        <v>5</v>
      </c>
      <c r="AM20" s="558" t="s">
        <v>896</v>
      </c>
      <c r="AN20" s="558">
        <v>11</v>
      </c>
      <c r="AO20" s="558" t="s">
        <v>896</v>
      </c>
      <c r="AP20" s="558">
        <v>5</v>
      </c>
      <c r="AQ20" s="558" t="s">
        <v>896</v>
      </c>
      <c r="AR20" s="558" t="s">
        <v>896</v>
      </c>
      <c r="AS20" s="558">
        <v>0</v>
      </c>
      <c r="AT20" s="558" t="s">
        <v>896</v>
      </c>
      <c r="AU20" s="558" t="s">
        <v>896</v>
      </c>
      <c r="AV20" s="558" t="s">
        <v>896</v>
      </c>
      <c r="AW20" s="558">
        <v>5</v>
      </c>
      <c r="AX20" s="558">
        <v>11</v>
      </c>
      <c r="AY20" s="558">
        <v>25</v>
      </c>
      <c r="AZ20" s="558">
        <v>11</v>
      </c>
      <c r="BA20" s="558">
        <v>8</v>
      </c>
      <c r="BB20" s="558">
        <v>20</v>
      </c>
      <c r="BC20" s="558">
        <v>19</v>
      </c>
      <c r="BD20" s="558">
        <v>25</v>
      </c>
      <c r="BE20" s="558">
        <v>15</v>
      </c>
      <c r="BF20" s="558">
        <v>12</v>
      </c>
      <c r="BG20" s="558">
        <v>18</v>
      </c>
      <c r="BH20" s="558">
        <v>22</v>
      </c>
      <c r="BI20" s="536"/>
      <c r="BJ20" s="559">
        <v>25</v>
      </c>
      <c r="BK20" s="559">
        <v>-3</v>
      </c>
      <c r="BL20" s="536"/>
      <c r="BM20" s="559">
        <v>17</v>
      </c>
      <c r="BN20" s="559">
        <v>15</v>
      </c>
      <c r="BO20" s="559">
        <v>15</v>
      </c>
      <c r="BP20" s="559">
        <v>15</v>
      </c>
      <c r="BQ20" s="559">
        <v>15</v>
      </c>
      <c r="BR20" s="559">
        <v>15</v>
      </c>
      <c r="BS20" s="543">
        <v>203</v>
      </c>
      <c r="BT20" s="536"/>
      <c r="BU20" s="559">
        <v>17</v>
      </c>
      <c r="BV20" s="559">
        <v>17</v>
      </c>
      <c r="BW20" s="559">
        <v>17</v>
      </c>
      <c r="BX20" s="559">
        <v>17</v>
      </c>
      <c r="BY20" s="559">
        <v>17</v>
      </c>
      <c r="BZ20" s="559">
        <v>17</v>
      </c>
      <c r="CA20" s="545">
        <v>102</v>
      </c>
      <c r="CB20" s="545">
        <v>204</v>
      </c>
      <c r="CC20" s="536"/>
      <c r="CD20" s="559">
        <v>3</v>
      </c>
      <c r="CE20" s="559">
        <v>4</v>
      </c>
      <c r="CG20" s="559">
        <v>1</v>
      </c>
      <c r="CH20" s="559">
        <v>2</v>
      </c>
      <c r="CI20" s="559">
        <v>2</v>
      </c>
      <c r="CJ20" s="559">
        <v>2</v>
      </c>
      <c r="CK20" s="559">
        <v>3</v>
      </c>
      <c r="CL20" s="559">
        <v>4</v>
      </c>
      <c r="CM20" s="559">
        <v>2</v>
      </c>
      <c r="CN20" s="559">
        <v>4</v>
      </c>
      <c r="CO20" s="558">
        <v>3</v>
      </c>
      <c r="CP20" s="558">
        <v>4</v>
      </c>
      <c r="CQ20" s="558">
        <v>2</v>
      </c>
      <c r="CR20" s="544" t="s">
        <v>499</v>
      </c>
    </row>
    <row r="21" spans="1:96" s="559" customFormat="1" outlineLevel="1" x14ac:dyDescent="0.2">
      <c r="A21" s="559">
        <v>39693</v>
      </c>
      <c r="C21" s="560" t="s">
        <v>762</v>
      </c>
      <c r="E21" s="559">
        <v>12</v>
      </c>
      <c r="F21" s="562">
        <v>22</v>
      </c>
      <c r="G21" s="559">
        <v>27</v>
      </c>
      <c r="H21" s="559">
        <v>12</v>
      </c>
      <c r="I21" s="559">
        <v>16</v>
      </c>
      <c r="J21" s="559">
        <v>12</v>
      </c>
      <c r="K21" s="559">
        <v>15</v>
      </c>
      <c r="L21" s="559">
        <v>11</v>
      </c>
      <c r="M21" s="559">
        <v>12</v>
      </c>
      <c r="N21" s="559">
        <v>19</v>
      </c>
      <c r="O21" s="559">
        <v>19</v>
      </c>
      <c r="P21" s="559">
        <v>28</v>
      </c>
      <c r="Q21" s="559">
        <v>16</v>
      </c>
      <c r="R21" s="559">
        <v>18</v>
      </c>
      <c r="S21" s="559">
        <v>12</v>
      </c>
      <c r="T21" s="559">
        <v>30</v>
      </c>
      <c r="U21" s="559">
        <v>12</v>
      </c>
      <c r="V21" s="558">
        <v>26</v>
      </c>
      <c r="W21" s="558">
        <v>14</v>
      </c>
      <c r="X21" s="558">
        <v>21</v>
      </c>
      <c r="Y21" s="558">
        <v>19</v>
      </c>
      <c r="Z21" s="558">
        <v>17</v>
      </c>
      <c r="AA21" s="558">
        <v>16</v>
      </c>
      <c r="AB21" s="558">
        <v>27</v>
      </c>
      <c r="AC21" s="558">
        <v>15</v>
      </c>
      <c r="AD21" s="558">
        <v>19</v>
      </c>
      <c r="AE21" s="558">
        <v>12</v>
      </c>
      <c r="AF21" s="558">
        <v>17</v>
      </c>
      <c r="AG21" s="558">
        <v>16</v>
      </c>
      <c r="AH21" s="558">
        <v>12</v>
      </c>
      <c r="AI21" s="558">
        <v>19</v>
      </c>
      <c r="AJ21" s="558">
        <v>14</v>
      </c>
      <c r="AK21" s="558">
        <v>29</v>
      </c>
      <c r="AL21" s="558">
        <v>15</v>
      </c>
      <c r="AM21" s="558">
        <v>21</v>
      </c>
      <c r="AN21" s="558">
        <v>18</v>
      </c>
      <c r="AO21" s="558">
        <v>25</v>
      </c>
      <c r="AP21" s="558">
        <v>18</v>
      </c>
      <c r="AQ21" s="558">
        <v>26</v>
      </c>
      <c r="AR21" s="558">
        <v>23</v>
      </c>
      <c r="AS21" s="558">
        <v>19</v>
      </c>
      <c r="AT21" s="558">
        <v>25</v>
      </c>
      <c r="AU21" s="558">
        <v>28</v>
      </c>
      <c r="AV21" s="558">
        <v>23</v>
      </c>
      <c r="AW21" s="558">
        <v>32</v>
      </c>
      <c r="AX21" s="558">
        <v>26</v>
      </c>
      <c r="AY21" s="558">
        <v>21</v>
      </c>
      <c r="AZ21" s="558">
        <v>38</v>
      </c>
      <c r="BA21" s="558">
        <v>30</v>
      </c>
      <c r="BB21" s="558">
        <v>20</v>
      </c>
      <c r="BC21" s="558">
        <v>17</v>
      </c>
      <c r="BD21" s="558">
        <v>23</v>
      </c>
      <c r="BE21" s="558">
        <v>32</v>
      </c>
      <c r="BF21" s="558">
        <v>26</v>
      </c>
      <c r="BG21" s="558">
        <v>16</v>
      </c>
      <c r="BH21" s="558">
        <v>21</v>
      </c>
      <c r="BI21" s="536"/>
      <c r="BJ21" s="559">
        <v>15</v>
      </c>
      <c r="BK21" s="559">
        <v>6</v>
      </c>
      <c r="BL21" s="536"/>
      <c r="BM21" s="559">
        <v>18</v>
      </c>
      <c r="BN21" s="559">
        <v>25</v>
      </c>
      <c r="BO21" s="559">
        <v>25</v>
      </c>
      <c r="BP21" s="559">
        <v>25</v>
      </c>
      <c r="BQ21" s="559">
        <v>25</v>
      </c>
      <c r="BR21" s="559">
        <v>25</v>
      </c>
      <c r="BS21" s="543">
        <v>278</v>
      </c>
      <c r="BT21" s="536"/>
      <c r="BU21" s="559">
        <v>24</v>
      </c>
      <c r="BV21" s="559">
        <v>23</v>
      </c>
      <c r="BW21" s="559">
        <v>23</v>
      </c>
      <c r="BX21" s="559">
        <v>23</v>
      </c>
      <c r="BY21" s="559">
        <v>23</v>
      </c>
      <c r="BZ21" s="559">
        <v>23</v>
      </c>
      <c r="CA21" s="545">
        <v>139</v>
      </c>
      <c r="CB21" s="545">
        <v>278</v>
      </c>
      <c r="CC21" s="536"/>
      <c r="CD21" s="559">
        <v>14</v>
      </c>
      <c r="CE21" s="559">
        <v>6</v>
      </c>
      <c r="CG21" s="559">
        <v>7</v>
      </c>
      <c r="CH21" s="559">
        <v>8</v>
      </c>
      <c r="CI21" s="559">
        <v>9</v>
      </c>
      <c r="CJ21" s="559">
        <v>10</v>
      </c>
      <c r="CK21" s="559">
        <v>14</v>
      </c>
      <c r="CL21" s="559">
        <v>8</v>
      </c>
      <c r="CM21" s="559">
        <v>8</v>
      </c>
      <c r="CN21" s="559">
        <v>7</v>
      </c>
      <c r="CO21" s="558">
        <v>14</v>
      </c>
      <c r="CP21" s="558">
        <v>6</v>
      </c>
      <c r="CQ21" s="558">
        <v>15</v>
      </c>
      <c r="CR21" s="544" t="s">
        <v>763</v>
      </c>
    </row>
    <row r="22" spans="1:96" s="559" customFormat="1" outlineLevel="1" x14ac:dyDescent="0.2">
      <c r="A22" s="559">
        <v>44479</v>
      </c>
      <c r="C22" s="560" t="s">
        <v>764</v>
      </c>
      <c r="F22" s="562"/>
      <c r="V22" s="558"/>
      <c r="W22" s="558"/>
      <c r="X22" s="558"/>
      <c r="Y22" s="558">
        <v>5</v>
      </c>
      <c r="Z22" s="558">
        <v>15</v>
      </c>
      <c r="AA22" s="558">
        <v>25</v>
      </c>
      <c r="AB22" s="558">
        <v>15</v>
      </c>
      <c r="AC22" s="558">
        <v>24</v>
      </c>
      <c r="AD22" s="558">
        <v>24</v>
      </c>
      <c r="AE22" s="558">
        <v>15</v>
      </c>
      <c r="AF22" s="558">
        <v>13</v>
      </c>
      <c r="AG22" s="558">
        <v>14</v>
      </c>
      <c r="AH22" s="558">
        <v>9</v>
      </c>
      <c r="AI22" s="558">
        <v>4</v>
      </c>
      <c r="AJ22" s="558">
        <v>20</v>
      </c>
      <c r="AK22" s="558">
        <v>9</v>
      </c>
      <c r="AL22" s="558">
        <v>9</v>
      </c>
      <c r="AM22" s="558">
        <v>5</v>
      </c>
      <c r="AN22" s="558" t="s">
        <v>896</v>
      </c>
      <c r="AO22" s="558">
        <v>6</v>
      </c>
      <c r="AP22" s="558">
        <v>12</v>
      </c>
      <c r="AQ22" s="558">
        <v>16</v>
      </c>
      <c r="AR22" s="558">
        <v>18</v>
      </c>
      <c r="AS22" s="558">
        <v>15</v>
      </c>
      <c r="AT22" s="558">
        <v>9</v>
      </c>
      <c r="AU22" s="558">
        <v>14</v>
      </c>
      <c r="AV22" s="558">
        <v>18</v>
      </c>
      <c r="AW22" s="558">
        <v>6</v>
      </c>
      <c r="AX22" s="558">
        <v>16</v>
      </c>
      <c r="AY22" s="558">
        <v>12</v>
      </c>
      <c r="AZ22" s="558">
        <v>4</v>
      </c>
      <c r="BA22" s="558">
        <v>4</v>
      </c>
      <c r="BB22" s="558">
        <v>8</v>
      </c>
      <c r="BC22" s="558">
        <v>14</v>
      </c>
      <c r="BD22" s="558">
        <v>6</v>
      </c>
      <c r="BE22" s="558">
        <v>2</v>
      </c>
      <c r="BF22" s="558">
        <v>15</v>
      </c>
      <c r="BG22" s="558">
        <v>6</v>
      </c>
      <c r="BH22" s="558">
        <v>7</v>
      </c>
      <c r="BI22" s="536"/>
      <c r="BJ22" s="559">
        <v>7</v>
      </c>
      <c r="BK22" s="559">
        <v>0</v>
      </c>
      <c r="BL22" s="536"/>
      <c r="BM22" s="559">
        <v>9</v>
      </c>
      <c r="BN22" s="559">
        <v>12</v>
      </c>
      <c r="BO22" s="559">
        <v>12</v>
      </c>
      <c r="BP22" s="559">
        <v>12</v>
      </c>
      <c r="BQ22" s="559">
        <v>12</v>
      </c>
      <c r="BR22" s="559">
        <v>12</v>
      </c>
      <c r="BS22" s="543">
        <v>119</v>
      </c>
      <c r="BT22" s="536"/>
      <c r="BU22" s="559">
        <v>12</v>
      </c>
      <c r="BV22" s="559">
        <v>12</v>
      </c>
      <c r="BW22" s="559">
        <v>12</v>
      </c>
      <c r="BX22" s="559">
        <v>12</v>
      </c>
      <c r="BY22" s="559">
        <v>12</v>
      </c>
      <c r="BZ22" s="559">
        <v>12</v>
      </c>
      <c r="CA22" s="545">
        <v>72</v>
      </c>
      <c r="CB22" s="545">
        <v>144</v>
      </c>
      <c r="CC22" s="536"/>
      <c r="CO22" s="558"/>
      <c r="CP22" s="558"/>
      <c r="CQ22" s="558"/>
      <c r="CR22" s="544" t="s">
        <v>765</v>
      </c>
    </row>
    <row r="23" spans="1:96" s="559" customFormat="1" outlineLevel="1" x14ac:dyDescent="0.2">
      <c r="A23" s="559">
        <v>31310</v>
      </c>
      <c r="C23" s="560" t="s">
        <v>766</v>
      </c>
      <c r="E23" s="559">
        <v>0</v>
      </c>
      <c r="F23" s="562">
        <v>0</v>
      </c>
      <c r="Q23" s="559" t="s">
        <v>896</v>
      </c>
      <c r="R23" s="559" t="s">
        <v>896</v>
      </c>
      <c r="S23" s="559" t="s">
        <v>896</v>
      </c>
      <c r="T23" s="559" t="s">
        <v>896</v>
      </c>
      <c r="U23" s="559" t="s">
        <v>896</v>
      </c>
      <c r="V23" s="558" t="s">
        <v>896</v>
      </c>
      <c r="W23" s="558" t="s">
        <v>896</v>
      </c>
      <c r="X23" s="558" t="s">
        <v>896</v>
      </c>
      <c r="Y23" s="558" t="s">
        <v>896</v>
      </c>
      <c r="Z23" s="558" t="s">
        <v>896</v>
      </c>
      <c r="AA23" s="558" t="s">
        <v>896</v>
      </c>
      <c r="AB23" s="558" t="s">
        <v>896</v>
      </c>
      <c r="AC23" s="558" t="s">
        <v>896</v>
      </c>
      <c r="AD23" s="558" t="s">
        <v>896</v>
      </c>
      <c r="AE23" s="558" t="s">
        <v>896</v>
      </c>
      <c r="AF23" s="558" t="s">
        <v>896</v>
      </c>
      <c r="AG23" s="558" t="s">
        <v>896</v>
      </c>
      <c r="AH23" s="558" t="s">
        <v>896</v>
      </c>
      <c r="AI23" s="558" t="s">
        <v>896</v>
      </c>
      <c r="AJ23" s="563" t="s">
        <v>896</v>
      </c>
      <c r="AK23" s="563" t="s">
        <v>896</v>
      </c>
      <c r="AL23" s="563" t="s">
        <v>896</v>
      </c>
      <c r="AM23" s="563" t="s">
        <v>896</v>
      </c>
      <c r="AN23" s="563" t="s">
        <v>896</v>
      </c>
      <c r="AO23" s="563" t="s">
        <v>896</v>
      </c>
      <c r="AP23" s="563" t="s">
        <v>896</v>
      </c>
      <c r="AQ23" s="563" t="s">
        <v>896</v>
      </c>
      <c r="AR23" s="563" t="s">
        <v>896</v>
      </c>
      <c r="AS23" s="563">
        <v>0</v>
      </c>
      <c r="AT23" s="563">
        <v>0</v>
      </c>
      <c r="AU23" s="563">
        <v>0</v>
      </c>
      <c r="AV23" s="563">
        <v>0</v>
      </c>
      <c r="AW23" s="563">
        <v>0</v>
      </c>
      <c r="AX23" s="563">
        <v>0</v>
      </c>
      <c r="AY23" s="563">
        <v>0</v>
      </c>
      <c r="AZ23" s="563">
        <v>0</v>
      </c>
      <c r="BA23" s="558">
        <v>3</v>
      </c>
      <c r="BB23" s="558">
        <v>4</v>
      </c>
      <c r="BC23" s="558">
        <v>3</v>
      </c>
      <c r="BD23" s="558">
        <v>2</v>
      </c>
      <c r="BE23" s="558">
        <v>2</v>
      </c>
      <c r="BF23" s="558">
        <v>4</v>
      </c>
      <c r="BG23" s="558">
        <v>5</v>
      </c>
      <c r="BH23" s="558">
        <v>1</v>
      </c>
      <c r="BI23" s="536"/>
      <c r="BJ23" s="559">
        <v>2</v>
      </c>
      <c r="BK23" s="559">
        <v>-1</v>
      </c>
      <c r="BL23" s="536"/>
      <c r="BM23" s="559">
        <v>4</v>
      </c>
      <c r="BN23" s="559">
        <v>3</v>
      </c>
      <c r="BO23" s="559">
        <v>3</v>
      </c>
      <c r="BP23" s="559">
        <v>3</v>
      </c>
      <c r="BQ23" s="559">
        <v>3</v>
      </c>
      <c r="BR23" s="559">
        <v>3</v>
      </c>
      <c r="BS23" s="543">
        <v>36</v>
      </c>
      <c r="BT23" s="536"/>
      <c r="BU23" s="559">
        <v>3</v>
      </c>
      <c r="BV23" s="559">
        <v>3</v>
      </c>
      <c r="BW23" s="559">
        <v>3</v>
      </c>
      <c r="BX23" s="559">
        <v>3</v>
      </c>
      <c r="BY23" s="559">
        <v>3</v>
      </c>
      <c r="BZ23" s="559">
        <v>3</v>
      </c>
      <c r="CA23" s="545">
        <v>18</v>
      </c>
      <c r="CB23" s="545">
        <v>36</v>
      </c>
      <c r="CC23" s="536"/>
      <c r="CK23" s="559" t="s">
        <v>896</v>
      </c>
      <c r="CL23" s="559" t="s">
        <v>896</v>
      </c>
      <c r="CM23" s="559" t="s">
        <v>896</v>
      </c>
      <c r="CN23" s="559" t="s">
        <v>896</v>
      </c>
      <c r="CO23" s="558" t="s">
        <v>896</v>
      </c>
      <c r="CP23" s="558" t="s">
        <v>896</v>
      </c>
      <c r="CQ23" s="558" t="s">
        <v>896</v>
      </c>
      <c r="CR23" s="544" t="s">
        <v>767</v>
      </c>
    </row>
    <row r="24" spans="1:96" s="566" customFormat="1" outlineLevel="1" x14ac:dyDescent="0.2">
      <c r="A24" s="564" t="e">
        <v>#N/A</v>
      </c>
      <c r="B24" s="564"/>
      <c r="C24" s="565" t="s">
        <v>768</v>
      </c>
      <c r="F24" s="567"/>
      <c r="I24" s="566">
        <v>5</v>
      </c>
      <c r="J24" s="566">
        <v>0</v>
      </c>
      <c r="K24" s="566">
        <v>3</v>
      </c>
      <c r="L24" s="566">
        <v>4</v>
      </c>
      <c r="M24" s="566">
        <v>3</v>
      </c>
      <c r="N24" s="566">
        <v>2</v>
      </c>
      <c r="O24" s="566">
        <v>6</v>
      </c>
      <c r="P24" s="566">
        <v>3</v>
      </c>
      <c r="Q24" s="566" t="s">
        <v>896</v>
      </c>
      <c r="R24" s="566" t="s">
        <v>896</v>
      </c>
      <c r="S24" s="566" t="s">
        <v>896</v>
      </c>
      <c r="T24" s="566" t="s">
        <v>896</v>
      </c>
      <c r="U24" s="566" t="s">
        <v>896</v>
      </c>
      <c r="V24" s="566" t="s">
        <v>896</v>
      </c>
      <c r="W24" s="566" t="s">
        <v>896</v>
      </c>
      <c r="X24" s="566" t="s">
        <v>896</v>
      </c>
      <c r="Y24" s="566" t="s">
        <v>896</v>
      </c>
      <c r="Z24" s="566" t="s">
        <v>896</v>
      </c>
      <c r="AA24" s="566" t="s">
        <v>896</v>
      </c>
      <c r="AB24" s="566" t="s">
        <v>896</v>
      </c>
      <c r="AC24" s="566" t="s">
        <v>896</v>
      </c>
      <c r="AD24" s="566" t="s">
        <v>896</v>
      </c>
      <c r="AE24" s="566" t="s">
        <v>896</v>
      </c>
      <c r="AF24" s="566" t="s">
        <v>896</v>
      </c>
      <c r="AG24" s="566" t="s">
        <v>896</v>
      </c>
      <c r="AH24" s="566" t="s">
        <v>896</v>
      </c>
      <c r="AI24" s="566" t="s">
        <v>896</v>
      </c>
      <c r="AJ24" s="566" t="s">
        <v>896</v>
      </c>
      <c r="AK24" s="566" t="s">
        <v>896</v>
      </c>
      <c r="AL24" s="566" t="s">
        <v>896</v>
      </c>
      <c r="AM24" s="566" t="s">
        <v>896</v>
      </c>
      <c r="AN24" s="566" t="s">
        <v>896</v>
      </c>
      <c r="AO24" s="566" t="s">
        <v>896</v>
      </c>
      <c r="AP24" s="566" t="s">
        <v>896</v>
      </c>
      <c r="AQ24" s="566" t="s">
        <v>896</v>
      </c>
      <c r="AR24" s="566" t="s">
        <v>896</v>
      </c>
      <c r="AS24" s="566" t="s">
        <v>896</v>
      </c>
      <c r="AT24" s="566" t="s">
        <v>896</v>
      </c>
      <c r="AU24" s="566" t="s">
        <v>896</v>
      </c>
      <c r="AV24" s="566" t="s">
        <v>896</v>
      </c>
      <c r="AW24" s="566" t="s">
        <v>896</v>
      </c>
      <c r="AX24" s="566" t="s">
        <v>896</v>
      </c>
      <c r="AY24" s="566" t="s">
        <v>896</v>
      </c>
      <c r="AZ24" s="566" t="s">
        <v>896</v>
      </c>
      <c r="BA24" s="566" t="s">
        <v>896</v>
      </c>
      <c r="BB24" s="566" t="s">
        <v>896</v>
      </c>
      <c r="BC24" s="566" t="s">
        <v>896</v>
      </c>
      <c r="BD24" s="564"/>
      <c r="BE24" s="564" t="s">
        <v>896</v>
      </c>
      <c r="BF24" s="564" t="s">
        <v>896</v>
      </c>
      <c r="BG24" s="564" t="s">
        <v>896</v>
      </c>
      <c r="BH24" s="564" t="s">
        <v>896</v>
      </c>
      <c r="BI24" s="568"/>
      <c r="BJ24" s="564">
        <v>2</v>
      </c>
      <c r="BK24" s="564">
        <v>-2</v>
      </c>
      <c r="BL24" s="564" t="s">
        <v>896</v>
      </c>
      <c r="BM24" s="564">
        <v>1</v>
      </c>
      <c r="BN24" s="564">
        <v>3</v>
      </c>
      <c r="BO24" s="564">
        <v>3</v>
      </c>
      <c r="BP24" s="564">
        <v>3</v>
      </c>
      <c r="BQ24" s="564">
        <v>3</v>
      </c>
      <c r="BR24" s="564">
        <v>3</v>
      </c>
      <c r="BS24" s="564">
        <v>16</v>
      </c>
      <c r="BT24" s="568"/>
      <c r="BU24" s="564">
        <v>3</v>
      </c>
      <c r="BV24" s="564">
        <v>3</v>
      </c>
      <c r="BW24" s="564">
        <v>3</v>
      </c>
      <c r="BX24" s="564">
        <v>3</v>
      </c>
      <c r="BY24" s="564">
        <v>3</v>
      </c>
      <c r="BZ24" s="564">
        <v>3</v>
      </c>
      <c r="CA24" s="564">
        <v>18</v>
      </c>
      <c r="CB24" s="564">
        <v>36</v>
      </c>
      <c r="CC24" s="536"/>
      <c r="CG24" s="566">
        <v>3</v>
      </c>
      <c r="CH24" s="566">
        <v>4</v>
      </c>
      <c r="CI24" s="566">
        <v>3</v>
      </c>
      <c r="CJ24" s="566">
        <v>4</v>
      </c>
      <c r="CK24" s="566" t="s">
        <v>896</v>
      </c>
      <c r="CL24" s="566" t="s">
        <v>896</v>
      </c>
      <c r="CM24" s="566" t="s">
        <v>896</v>
      </c>
      <c r="CN24" s="566" t="s">
        <v>896</v>
      </c>
      <c r="CO24" s="566" t="s">
        <v>896</v>
      </c>
      <c r="CP24" s="566" t="s">
        <v>896</v>
      </c>
      <c r="CQ24" s="566" t="s">
        <v>896</v>
      </c>
      <c r="CR24" s="544" t="s">
        <v>499</v>
      </c>
    </row>
    <row r="25" spans="1:96" s="559" customFormat="1" ht="14.45" customHeight="1" outlineLevel="1" x14ac:dyDescent="0.2">
      <c r="A25" s="559">
        <v>46672</v>
      </c>
      <c r="C25" s="560" t="s">
        <v>769</v>
      </c>
      <c r="F25" s="562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>
        <v>8</v>
      </c>
      <c r="AH25" s="558">
        <v>10</v>
      </c>
      <c r="AI25" s="558">
        <v>11</v>
      </c>
      <c r="AJ25" s="558">
        <v>12</v>
      </c>
      <c r="AK25" s="558">
        <v>8</v>
      </c>
      <c r="AL25" s="558">
        <v>11</v>
      </c>
      <c r="AM25" s="558">
        <v>18</v>
      </c>
      <c r="AN25" s="558">
        <v>12</v>
      </c>
      <c r="AO25" s="558">
        <v>17</v>
      </c>
      <c r="AP25" s="558">
        <v>19</v>
      </c>
      <c r="AQ25" s="558">
        <v>18</v>
      </c>
      <c r="AR25" s="558">
        <v>11</v>
      </c>
      <c r="AS25" s="558">
        <v>22</v>
      </c>
      <c r="AT25" s="558">
        <v>23</v>
      </c>
      <c r="AU25" s="558">
        <v>24</v>
      </c>
      <c r="AV25" s="558">
        <v>16</v>
      </c>
      <c r="AW25" s="558">
        <v>13</v>
      </c>
      <c r="AX25" s="558">
        <v>19</v>
      </c>
      <c r="AY25" s="558">
        <v>19</v>
      </c>
      <c r="AZ25" s="558">
        <v>16</v>
      </c>
      <c r="BA25" s="558">
        <v>18</v>
      </c>
      <c r="BB25" s="558">
        <v>13</v>
      </c>
      <c r="BC25" s="558">
        <v>20</v>
      </c>
      <c r="BD25" s="558">
        <v>16</v>
      </c>
      <c r="BE25" s="558">
        <v>18</v>
      </c>
      <c r="BF25" s="558">
        <v>15</v>
      </c>
      <c r="BG25" s="558">
        <v>21</v>
      </c>
      <c r="BH25" s="558">
        <v>21</v>
      </c>
      <c r="BI25" s="536"/>
      <c r="BJ25" s="559">
        <v>19</v>
      </c>
      <c r="BK25" s="543">
        <v>2</v>
      </c>
      <c r="BL25" s="536"/>
      <c r="BM25" s="559">
        <v>19</v>
      </c>
      <c r="BN25" s="559">
        <v>15</v>
      </c>
      <c r="BO25" s="559">
        <v>15</v>
      </c>
      <c r="BP25" s="559">
        <v>15</v>
      </c>
      <c r="BQ25" s="559">
        <v>15</v>
      </c>
      <c r="BR25" s="559">
        <v>15</v>
      </c>
      <c r="BS25" s="543">
        <v>205</v>
      </c>
      <c r="BT25" s="536"/>
      <c r="BU25" s="559">
        <v>15</v>
      </c>
      <c r="BV25" s="559">
        <v>15</v>
      </c>
      <c r="BW25" s="559">
        <v>15</v>
      </c>
      <c r="BX25" s="559">
        <v>15</v>
      </c>
      <c r="BY25" s="559">
        <v>15</v>
      </c>
      <c r="BZ25" s="559">
        <v>15</v>
      </c>
      <c r="CA25" s="545">
        <v>90</v>
      </c>
      <c r="CB25" s="545">
        <v>180</v>
      </c>
      <c r="CC25" s="536"/>
      <c r="CR25" s="544" t="s">
        <v>770</v>
      </c>
    </row>
    <row r="26" spans="1:96" s="549" customFormat="1" ht="15.75" thickBot="1" x14ac:dyDescent="0.25">
      <c r="A26" s="549" t="s">
        <v>896</v>
      </c>
      <c r="C26" s="550"/>
      <c r="F26" s="551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36"/>
      <c r="BK26" s="549" t="s">
        <v>896</v>
      </c>
      <c r="BL26" s="536"/>
      <c r="BS26" s="543"/>
      <c r="BT26" s="536"/>
      <c r="CA26" s="551"/>
      <c r="CB26" s="545"/>
      <c r="CC26" s="536"/>
      <c r="CK26" s="549" t="s">
        <v>896</v>
      </c>
      <c r="CL26" s="549" t="s">
        <v>896</v>
      </c>
      <c r="CM26" s="549" t="s">
        <v>896</v>
      </c>
      <c r="CN26" s="549" t="s">
        <v>896</v>
      </c>
      <c r="CO26" s="549" t="s">
        <v>896</v>
      </c>
      <c r="CP26" s="549" t="s">
        <v>896</v>
      </c>
      <c r="CQ26" s="549" t="s">
        <v>896</v>
      </c>
      <c r="CR26" s="550"/>
    </row>
    <row r="27" spans="1:96" s="570" customFormat="1" ht="15.75" thickBot="1" x14ac:dyDescent="0.25">
      <c r="A27" s="569" t="s">
        <v>776</v>
      </c>
      <c r="C27" s="571" t="s">
        <v>771</v>
      </c>
      <c r="E27" s="570">
        <v>3</v>
      </c>
      <c r="F27" s="572">
        <v>6</v>
      </c>
      <c r="G27" s="572">
        <v>3</v>
      </c>
      <c r="H27" s="572">
        <v>0</v>
      </c>
      <c r="I27" s="572">
        <v>2</v>
      </c>
      <c r="J27" s="572">
        <v>9</v>
      </c>
      <c r="K27" s="572">
        <v>2</v>
      </c>
      <c r="L27" s="572">
        <v>6</v>
      </c>
      <c r="M27" s="572">
        <v>4</v>
      </c>
      <c r="N27" s="572">
        <v>7</v>
      </c>
      <c r="O27" s="572">
        <v>5</v>
      </c>
      <c r="P27" s="572">
        <v>5</v>
      </c>
      <c r="Q27" s="572">
        <v>9</v>
      </c>
      <c r="R27" s="572">
        <v>8</v>
      </c>
      <c r="S27" s="572">
        <v>8</v>
      </c>
      <c r="T27" s="572">
        <v>2</v>
      </c>
      <c r="U27" s="572">
        <v>2</v>
      </c>
      <c r="V27" s="572">
        <v>3</v>
      </c>
      <c r="W27" s="572">
        <v>4</v>
      </c>
      <c r="X27" s="572">
        <v>6</v>
      </c>
      <c r="Y27" s="572">
        <v>0</v>
      </c>
      <c r="Z27" s="572">
        <v>2</v>
      </c>
      <c r="AA27" s="572">
        <v>4</v>
      </c>
      <c r="AB27" s="572">
        <v>3</v>
      </c>
      <c r="AC27" s="572">
        <v>5</v>
      </c>
      <c r="AD27" s="572">
        <v>3</v>
      </c>
      <c r="AE27" s="572">
        <v>3</v>
      </c>
      <c r="AF27" s="572">
        <v>1</v>
      </c>
      <c r="AG27" s="572">
        <v>3</v>
      </c>
      <c r="AH27" s="572">
        <v>1</v>
      </c>
      <c r="AI27" s="572">
        <v>1</v>
      </c>
      <c r="AJ27" s="572">
        <v>1</v>
      </c>
      <c r="AK27" s="572">
        <v>1</v>
      </c>
      <c r="AL27" s="572">
        <v>2</v>
      </c>
      <c r="AM27" s="572">
        <v>0</v>
      </c>
      <c r="AN27" s="572">
        <v>1</v>
      </c>
      <c r="AO27" s="572">
        <v>2</v>
      </c>
      <c r="AP27" s="572">
        <v>0</v>
      </c>
      <c r="AQ27" s="572">
        <v>0</v>
      </c>
      <c r="AR27" s="572">
        <v>0</v>
      </c>
      <c r="AS27" s="572">
        <v>0</v>
      </c>
      <c r="AT27" s="572">
        <v>0</v>
      </c>
      <c r="AU27" s="572">
        <v>0</v>
      </c>
      <c r="AV27" s="572">
        <v>3</v>
      </c>
      <c r="AW27" s="572">
        <v>3</v>
      </c>
      <c r="AX27" s="572">
        <v>7</v>
      </c>
      <c r="AY27" s="572">
        <v>10</v>
      </c>
      <c r="AZ27" s="572">
        <v>11</v>
      </c>
      <c r="BA27" s="572">
        <v>6</v>
      </c>
      <c r="BB27" s="572">
        <v>8</v>
      </c>
      <c r="BC27" s="572">
        <v>5</v>
      </c>
      <c r="BD27" s="572">
        <v>0</v>
      </c>
      <c r="BE27" s="572">
        <v>3</v>
      </c>
      <c r="BF27" s="572">
        <v>9</v>
      </c>
      <c r="BG27" s="572">
        <v>4</v>
      </c>
      <c r="BH27" s="572">
        <v>8</v>
      </c>
      <c r="BI27" s="542"/>
      <c r="BJ27" s="572">
        <v>9</v>
      </c>
      <c r="BK27" s="572">
        <v>-1</v>
      </c>
      <c r="BL27" s="542"/>
      <c r="BM27" s="572">
        <v>0</v>
      </c>
      <c r="BN27" s="572">
        <v>5</v>
      </c>
      <c r="BO27" s="572">
        <v>5</v>
      </c>
      <c r="BP27" s="572">
        <v>5</v>
      </c>
      <c r="BQ27" s="572">
        <v>5</v>
      </c>
      <c r="BR27" s="572">
        <v>5</v>
      </c>
      <c r="BS27" s="572">
        <v>54</v>
      </c>
      <c r="BT27" s="542"/>
      <c r="BU27" s="572">
        <v>5</v>
      </c>
      <c r="BV27" s="572">
        <v>5</v>
      </c>
      <c r="BW27" s="572">
        <v>5</v>
      </c>
      <c r="BX27" s="572">
        <v>5</v>
      </c>
      <c r="BY27" s="572">
        <v>5</v>
      </c>
      <c r="BZ27" s="572">
        <v>5</v>
      </c>
      <c r="CA27" s="572">
        <v>30</v>
      </c>
      <c r="CB27" s="572">
        <v>60</v>
      </c>
      <c r="CC27" s="542"/>
      <c r="CK27" s="570" t="s">
        <v>896</v>
      </c>
      <c r="CL27" s="570" t="s">
        <v>896</v>
      </c>
      <c r="CM27" s="570" t="s">
        <v>896</v>
      </c>
      <c r="CN27" s="570" t="s">
        <v>896</v>
      </c>
      <c r="CO27" s="570" t="s">
        <v>896</v>
      </c>
      <c r="CP27" s="570" t="s">
        <v>896</v>
      </c>
      <c r="CQ27" s="570" t="s">
        <v>896</v>
      </c>
      <c r="CR27" s="571"/>
    </row>
    <row r="28" spans="1:96" s="543" customFormat="1" outlineLevel="1" x14ac:dyDescent="0.2">
      <c r="A28" s="543">
        <v>48868</v>
      </c>
      <c r="C28" s="544" t="s">
        <v>772</v>
      </c>
      <c r="F28" s="545"/>
      <c r="I28" s="543">
        <v>1</v>
      </c>
      <c r="M28" s="543">
        <v>1</v>
      </c>
      <c r="Q28" s="543" t="s">
        <v>896</v>
      </c>
      <c r="R28" s="543" t="s">
        <v>896</v>
      </c>
      <c r="S28" s="543" t="s">
        <v>896</v>
      </c>
      <c r="T28" s="543" t="s">
        <v>896</v>
      </c>
      <c r="U28" s="543" t="s">
        <v>896</v>
      </c>
      <c r="V28" s="543" t="s">
        <v>896</v>
      </c>
      <c r="W28" s="543" t="s">
        <v>896</v>
      </c>
      <c r="X28" s="543" t="s">
        <v>896</v>
      </c>
      <c r="Y28" s="546" t="s">
        <v>896</v>
      </c>
      <c r="Z28" s="546" t="s">
        <v>896</v>
      </c>
      <c r="AA28" s="546" t="s">
        <v>896</v>
      </c>
      <c r="AB28" s="546" t="s">
        <v>896</v>
      </c>
      <c r="AC28" s="546" t="s">
        <v>896</v>
      </c>
      <c r="AD28" s="546" t="s">
        <v>896</v>
      </c>
      <c r="AE28" s="546" t="s">
        <v>896</v>
      </c>
      <c r="AF28" s="546" t="s">
        <v>896</v>
      </c>
      <c r="AG28" s="546" t="s">
        <v>896</v>
      </c>
      <c r="AH28" s="546" t="s">
        <v>896</v>
      </c>
      <c r="AI28" s="546" t="s">
        <v>896</v>
      </c>
      <c r="AJ28" s="573" t="s">
        <v>896</v>
      </c>
      <c r="AK28" s="573" t="s">
        <v>896</v>
      </c>
      <c r="AL28" s="573" t="s">
        <v>896</v>
      </c>
      <c r="AM28" s="573" t="s">
        <v>896</v>
      </c>
      <c r="AN28" s="573" t="s">
        <v>896</v>
      </c>
      <c r="AO28" s="573" t="s">
        <v>896</v>
      </c>
      <c r="AP28" s="573" t="s">
        <v>896</v>
      </c>
      <c r="AQ28" s="573" t="s">
        <v>896</v>
      </c>
      <c r="AR28" s="573" t="s">
        <v>896</v>
      </c>
      <c r="AS28" s="573">
        <v>0</v>
      </c>
      <c r="AT28" s="573">
        <v>0</v>
      </c>
      <c r="AU28" s="573">
        <v>0</v>
      </c>
      <c r="AV28" s="573">
        <v>0</v>
      </c>
      <c r="AW28" s="573">
        <v>0</v>
      </c>
      <c r="AX28" s="573">
        <v>0</v>
      </c>
      <c r="AY28" s="573">
        <v>0</v>
      </c>
      <c r="AZ28" s="573">
        <v>0</v>
      </c>
      <c r="BA28" s="558">
        <v>0</v>
      </c>
      <c r="BB28" s="558">
        <v>0</v>
      </c>
      <c r="BC28" s="558">
        <v>0</v>
      </c>
      <c r="BD28" s="558">
        <v>0</v>
      </c>
      <c r="BE28" s="558">
        <v>3</v>
      </c>
      <c r="BF28" s="558">
        <v>5</v>
      </c>
      <c r="BG28" s="558">
        <v>2</v>
      </c>
      <c r="BH28" s="558">
        <v>0</v>
      </c>
      <c r="BI28" s="536"/>
      <c r="BJ28" s="543">
        <v>0</v>
      </c>
      <c r="BK28" s="543">
        <v>0</v>
      </c>
      <c r="BL28" s="536"/>
      <c r="BM28" s="543">
        <v>0</v>
      </c>
      <c r="BN28" s="543">
        <v>0</v>
      </c>
      <c r="BO28" s="543">
        <v>0</v>
      </c>
      <c r="BP28" s="543">
        <v>0</v>
      </c>
      <c r="BQ28" s="543">
        <v>0</v>
      </c>
      <c r="BR28" s="543">
        <v>0</v>
      </c>
      <c r="BS28" s="543">
        <v>10</v>
      </c>
      <c r="BT28" s="536"/>
      <c r="BU28" s="543">
        <v>0</v>
      </c>
      <c r="BV28" s="543">
        <v>0</v>
      </c>
      <c r="BW28" s="543">
        <v>0</v>
      </c>
      <c r="BX28" s="543">
        <v>0</v>
      </c>
      <c r="BY28" s="543">
        <v>0</v>
      </c>
      <c r="BZ28" s="543">
        <v>0</v>
      </c>
      <c r="CA28" s="545">
        <v>0</v>
      </c>
      <c r="CB28" s="545">
        <v>0</v>
      </c>
      <c r="CC28" s="536"/>
      <c r="CI28" s="543">
        <v>1</v>
      </c>
      <c r="CK28" s="543" t="s">
        <v>896</v>
      </c>
      <c r="CL28" s="543" t="s">
        <v>896</v>
      </c>
      <c r="CM28" s="543" t="s">
        <v>896</v>
      </c>
      <c r="CN28" s="543" t="s">
        <v>896</v>
      </c>
      <c r="CO28" s="543" t="s">
        <v>896</v>
      </c>
      <c r="CP28" s="543" t="s">
        <v>896</v>
      </c>
      <c r="CQ28" s="543" t="s">
        <v>896</v>
      </c>
      <c r="CR28" s="544" t="s">
        <v>499</v>
      </c>
    </row>
    <row r="29" spans="1:96" s="559" customFormat="1" outlineLevel="1" x14ac:dyDescent="0.2">
      <c r="A29" s="559">
        <v>36426</v>
      </c>
      <c r="C29" s="560" t="s">
        <v>773</v>
      </c>
      <c r="E29" s="559">
        <v>3</v>
      </c>
      <c r="F29" s="562">
        <v>6</v>
      </c>
      <c r="G29" s="559">
        <v>3</v>
      </c>
      <c r="I29" s="559">
        <v>1</v>
      </c>
      <c r="J29" s="559">
        <v>9</v>
      </c>
      <c r="K29" s="559">
        <v>2</v>
      </c>
      <c r="L29" s="559">
        <v>6</v>
      </c>
      <c r="M29" s="559">
        <v>3</v>
      </c>
      <c r="N29" s="559">
        <v>7</v>
      </c>
      <c r="O29" s="559">
        <v>5</v>
      </c>
      <c r="P29" s="559">
        <v>5</v>
      </c>
      <c r="Q29" s="559">
        <v>9</v>
      </c>
      <c r="R29" s="559">
        <v>8</v>
      </c>
      <c r="S29" s="559">
        <v>8</v>
      </c>
      <c r="T29" s="559">
        <v>2</v>
      </c>
      <c r="U29" s="559">
        <v>2</v>
      </c>
      <c r="V29" s="558">
        <v>3</v>
      </c>
      <c r="W29" s="558">
        <v>4</v>
      </c>
      <c r="X29" s="558">
        <v>6</v>
      </c>
      <c r="Y29" s="558" t="s">
        <v>896</v>
      </c>
      <c r="Z29" s="558">
        <v>2</v>
      </c>
      <c r="AA29" s="558">
        <v>4</v>
      </c>
      <c r="AB29" s="558">
        <v>3</v>
      </c>
      <c r="AC29" s="558">
        <v>5</v>
      </c>
      <c r="AD29" s="558">
        <v>3</v>
      </c>
      <c r="AE29" s="558">
        <v>3</v>
      </c>
      <c r="AF29" s="558">
        <v>1</v>
      </c>
      <c r="AG29" s="558">
        <v>3</v>
      </c>
      <c r="AH29" s="558">
        <v>1</v>
      </c>
      <c r="AI29" s="558">
        <v>1</v>
      </c>
      <c r="AJ29" s="558">
        <v>1</v>
      </c>
      <c r="AK29" s="558">
        <v>1</v>
      </c>
      <c r="AL29" s="558">
        <v>2</v>
      </c>
      <c r="AM29" s="558" t="s">
        <v>896</v>
      </c>
      <c r="AN29" s="558">
        <v>1</v>
      </c>
      <c r="AO29" s="558">
        <v>2</v>
      </c>
      <c r="AP29" s="558">
        <v>0</v>
      </c>
      <c r="AQ29" s="558">
        <v>0</v>
      </c>
      <c r="AR29" s="558">
        <v>0</v>
      </c>
      <c r="AS29" s="558">
        <v>0</v>
      </c>
      <c r="AT29" s="558">
        <v>0</v>
      </c>
      <c r="AU29" s="558">
        <v>0</v>
      </c>
      <c r="AV29" s="558">
        <v>3</v>
      </c>
      <c r="AW29" s="558">
        <v>3</v>
      </c>
      <c r="AX29" s="558">
        <v>7</v>
      </c>
      <c r="AY29" s="558">
        <v>10</v>
      </c>
      <c r="AZ29" s="558">
        <v>11</v>
      </c>
      <c r="BA29" s="558">
        <v>6</v>
      </c>
      <c r="BB29" s="558">
        <v>8</v>
      </c>
      <c r="BC29" s="558">
        <v>5</v>
      </c>
      <c r="BD29" s="558">
        <v>0</v>
      </c>
      <c r="BE29" s="558">
        <v>0</v>
      </c>
      <c r="BF29" s="558">
        <v>4</v>
      </c>
      <c r="BG29" s="558">
        <v>2</v>
      </c>
      <c r="BH29" s="558">
        <v>8</v>
      </c>
      <c r="BI29" s="536"/>
      <c r="BJ29" s="559">
        <v>9</v>
      </c>
      <c r="BK29" s="559">
        <v>-1</v>
      </c>
      <c r="BL29" s="536"/>
      <c r="BM29" s="559">
        <v>0</v>
      </c>
      <c r="BN29" s="559">
        <v>5</v>
      </c>
      <c r="BO29" s="559">
        <v>5</v>
      </c>
      <c r="BP29" s="559">
        <v>5</v>
      </c>
      <c r="BQ29" s="559">
        <v>5</v>
      </c>
      <c r="BR29" s="559">
        <v>5</v>
      </c>
      <c r="BS29" s="543">
        <v>44</v>
      </c>
      <c r="BT29" s="536"/>
      <c r="BU29" s="559">
        <v>5</v>
      </c>
      <c r="BV29" s="559">
        <v>5</v>
      </c>
      <c r="BW29" s="559">
        <v>5</v>
      </c>
      <c r="BX29" s="559">
        <v>5</v>
      </c>
      <c r="BY29" s="559">
        <v>5</v>
      </c>
      <c r="BZ29" s="559">
        <v>5</v>
      </c>
      <c r="CA29" s="545">
        <v>30</v>
      </c>
      <c r="CB29" s="545">
        <v>60</v>
      </c>
      <c r="CC29" s="536"/>
      <c r="CD29" s="559">
        <v>1</v>
      </c>
      <c r="CE29" s="559">
        <v>0</v>
      </c>
      <c r="CG29" s="559">
        <v>1</v>
      </c>
      <c r="CH29" s="559">
        <v>4</v>
      </c>
      <c r="CI29" s="559">
        <v>1</v>
      </c>
      <c r="CJ29" s="559">
        <v>3</v>
      </c>
      <c r="CK29" s="559">
        <v>5</v>
      </c>
      <c r="CL29" s="559">
        <v>4</v>
      </c>
      <c r="CM29" s="559">
        <v>4</v>
      </c>
      <c r="CN29" s="559">
        <v>4</v>
      </c>
      <c r="CO29" s="559">
        <v>1</v>
      </c>
      <c r="CP29" s="558">
        <v>1</v>
      </c>
      <c r="CQ29" s="558">
        <v>1</v>
      </c>
      <c r="CR29" s="544" t="s">
        <v>499</v>
      </c>
    </row>
    <row r="30" spans="1:96" s="549" customFormat="1" ht="15.75" thickBot="1" x14ac:dyDescent="0.25">
      <c r="A30" s="549" t="s">
        <v>896</v>
      </c>
      <c r="C30" s="550"/>
      <c r="F30" s="551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36"/>
      <c r="BK30" s="549" t="s">
        <v>896</v>
      </c>
      <c r="BL30" s="536"/>
      <c r="BS30" s="543" t="s">
        <v>896</v>
      </c>
      <c r="BT30" s="536"/>
      <c r="CA30" s="545"/>
      <c r="CB30" s="545"/>
      <c r="CC30" s="536"/>
      <c r="CK30" s="549" t="s">
        <v>896</v>
      </c>
      <c r="CL30" s="549" t="s">
        <v>896</v>
      </c>
      <c r="CM30" s="549" t="s">
        <v>896</v>
      </c>
      <c r="CN30" s="549" t="s">
        <v>896</v>
      </c>
      <c r="CO30" s="549" t="s">
        <v>896</v>
      </c>
      <c r="CP30" s="549" t="s">
        <v>896</v>
      </c>
      <c r="CQ30" s="549" t="s">
        <v>896</v>
      </c>
      <c r="CR30" s="550"/>
    </row>
    <row r="31" spans="1:96" s="575" customFormat="1" ht="15.75" thickBot="1" x14ac:dyDescent="0.25">
      <c r="A31" s="574" t="s">
        <v>776</v>
      </c>
      <c r="C31" s="576" t="s">
        <v>268</v>
      </c>
      <c r="E31" s="575">
        <v>22</v>
      </c>
      <c r="F31" s="577">
        <v>18</v>
      </c>
      <c r="G31" s="577">
        <v>16</v>
      </c>
      <c r="H31" s="577">
        <v>8</v>
      </c>
      <c r="I31" s="577">
        <v>17</v>
      </c>
      <c r="J31" s="577">
        <v>6</v>
      </c>
      <c r="K31" s="577">
        <v>10</v>
      </c>
      <c r="L31" s="577">
        <v>10</v>
      </c>
      <c r="M31" s="577">
        <v>9</v>
      </c>
      <c r="N31" s="577">
        <v>11</v>
      </c>
      <c r="O31" s="577">
        <v>14</v>
      </c>
      <c r="P31" s="577">
        <v>15</v>
      </c>
      <c r="Q31" s="577">
        <v>15</v>
      </c>
      <c r="R31" s="577">
        <v>17</v>
      </c>
      <c r="S31" s="577">
        <v>12</v>
      </c>
      <c r="T31" s="577">
        <v>11</v>
      </c>
      <c r="U31" s="577">
        <v>14</v>
      </c>
      <c r="V31" s="577">
        <v>11</v>
      </c>
      <c r="W31" s="577">
        <v>14</v>
      </c>
      <c r="X31" s="577">
        <v>11</v>
      </c>
      <c r="Y31" s="577">
        <v>11</v>
      </c>
      <c r="Z31" s="577">
        <v>12</v>
      </c>
      <c r="AA31" s="577">
        <v>6</v>
      </c>
      <c r="AB31" s="577">
        <v>11</v>
      </c>
      <c r="AC31" s="577">
        <v>9</v>
      </c>
      <c r="AD31" s="577">
        <v>19</v>
      </c>
      <c r="AE31" s="577">
        <v>8</v>
      </c>
      <c r="AF31" s="577">
        <v>18</v>
      </c>
      <c r="AG31" s="577">
        <v>11</v>
      </c>
      <c r="AH31" s="577">
        <v>13</v>
      </c>
      <c r="AI31" s="577">
        <v>12</v>
      </c>
      <c r="AJ31" s="577">
        <v>6</v>
      </c>
      <c r="AK31" s="577">
        <v>17</v>
      </c>
      <c r="AL31" s="577">
        <v>10</v>
      </c>
      <c r="AM31" s="577">
        <v>8</v>
      </c>
      <c r="AN31" s="577">
        <v>11</v>
      </c>
      <c r="AO31" s="577">
        <v>12</v>
      </c>
      <c r="AP31" s="577">
        <v>14</v>
      </c>
      <c r="AQ31" s="577">
        <v>12</v>
      </c>
      <c r="AR31" s="577">
        <v>8</v>
      </c>
      <c r="AS31" s="577">
        <v>5</v>
      </c>
      <c r="AT31" s="577">
        <v>4</v>
      </c>
      <c r="AU31" s="577">
        <v>9</v>
      </c>
      <c r="AV31" s="577">
        <v>11</v>
      </c>
      <c r="AW31" s="577">
        <v>11</v>
      </c>
      <c r="AX31" s="577">
        <v>12</v>
      </c>
      <c r="AY31" s="577">
        <v>9</v>
      </c>
      <c r="AZ31" s="577">
        <v>8</v>
      </c>
      <c r="BA31" s="577">
        <v>13</v>
      </c>
      <c r="BB31" s="577">
        <v>10</v>
      </c>
      <c r="BC31" s="577">
        <v>9</v>
      </c>
      <c r="BD31" s="577">
        <v>9</v>
      </c>
      <c r="BE31" s="577">
        <v>15</v>
      </c>
      <c r="BF31" s="577">
        <v>12</v>
      </c>
      <c r="BG31" s="577">
        <v>9</v>
      </c>
      <c r="BH31" s="577">
        <v>5</v>
      </c>
      <c r="BI31" s="542"/>
      <c r="BJ31" s="577">
        <v>6</v>
      </c>
      <c r="BK31" s="577">
        <v>-1</v>
      </c>
      <c r="BL31" s="542"/>
      <c r="BM31" s="577">
        <v>8</v>
      </c>
      <c r="BN31" s="577">
        <v>8</v>
      </c>
      <c r="BO31" s="577">
        <v>8</v>
      </c>
      <c r="BP31" s="577">
        <v>8</v>
      </c>
      <c r="BQ31" s="577">
        <v>8</v>
      </c>
      <c r="BR31" s="577">
        <v>8</v>
      </c>
      <c r="BS31" s="577">
        <v>107</v>
      </c>
      <c r="BT31" s="542"/>
      <c r="BU31" s="577">
        <v>11</v>
      </c>
      <c r="BV31" s="577">
        <v>11</v>
      </c>
      <c r="BW31" s="577">
        <v>11</v>
      </c>
      <c r="BX31" s="577">
        <v>11</v>
      </c>
      <c r="BY31" s="577">
        <v>11</v>
      </c>
      <c r="BZ31" s="577">
        <v>11</v>
      </c>
      <c r="CA31" s="577">
        <v>66</v>
      </c>
      <c r="CB31" s="577">
        <v>132</v>
      </c>
      <c r="CC31" s="542"/>
      <c r="CK31" s="575" t="s">
        <v>896</v>
      </c>
      <c r="CL31" s="575" t="s">
        <v>896</v>
      </c>
      <c r="CM31" s="575" t="s">
        <v>896</v>
      </c>
      <c r="CN31" s="575" t="s">
        <v>896</v>
      </c>
      <c r="CO31" s="575" t="s">
        <v>896</v>
      </c>
      <c r="CP31" s="575" t="s">
        <v>896</v>
      </c>
      <c r="CQ31" s="575" t="s">
        <v>896</v>
      </c>
      <c r="CR31" s="576"/>
    </row>
    <row r="32" spans="1:96" s="543" customFormat="1" outlineLevel="1" x14ac:dyDescent="0.2">
      <c r="A32" s="543">
        <v>39545</v>
      </c>
      <c r="C32" s="544" t="s">
        <v>774</v>
      </c>
      <c r="E32" s="543">
        <v>15</v>
      </c>
      <c r="F32" s="545">
        <v>7</v>
      </c>
      <c r="G32" s="543">
        <v>16</v>
      </c>
      <c r="H32" s="543">
        <v>8</v>
      </c>
      <c r="I32" s="543">
        <v>17</v>
      </c>
      <c r="J32" s="543">
        <v>6</v>
      </c>
      <c r="K32" s="543">
        <v>10</v>
      </c>
      <c r="L32" s="543">
        <v>10</v>
      </c>
      <c r="M32" s="543">
        <v>9</v>
      </c>
      <c r="N32" s="543">
        <v>11</v>
      </c>
      <c r="O32" s="543">
        <v>14</v>
      </c>
      <c r="P32" s="543">
        <v>15</v>
      </c>
      <c r="Q32" s="543">
        <v>15</v>
      </c>
      <c r="R32" s="543">
        <v>17</v>
      </c>
      <c r="S32" s="543">
        <v>12</v>
      </c>
      <c r="T32" s="543">
        <v>11</v>
      </c>
      <c r="U32" s="543">
        <v>14</v>
      </c>
      <c r="V32" s="546">
        <v>11</v>
      </c>
      <c r="W32" s="546">
        <v>14</v>
      </c>
      <c r="X32" s="546">
        <v>11</v>
      </c>
      <c r="Y32" s="543">
        <v>11</v>
      </c>
      <c r="Z32" s="546">
        <v>12</v>
      </c>
      <c r="AA32" s="546">
        <v>6</v>
      </c>
      <c r="AB32" s="546">
        <v>11</v>
      </c>
      <c r="AC32" s="546">
        <v>9</v>
      </c>
      <c r="AD32" s="546">
        <v>19</v>
      </c>
      <c r="AE32" s="546">
        <v>8</v>
      </c>
      <c r="AF32" s="546">
        <v>18</v>
      </c>
      <c r="AG32" s="546">
        <v>11</v>
      </c>
      <c r="AH32" s="546">
        <v>13</v>
      </c>
      <c r="AI32" s="546">
        <v>12</v>
      </c>
      <c r="AJ32" s="546">
        <v>6</v>
      </c>
      <c r="AK32" s="546">
        <v>17</v>
      </c>
      <c r="AL32" s="546">
        <v>10</v>
      </c>
      <c r="AM32" s="546">
        <v>8</v>
      </c>
      <c r="AN32" s="546">
        <v>11</v>
      </c>
      <c r="AO32" s="546">
        <v>12</v>
      </c>
      <c r="AP32" s="546">
        <v>14</v>
      </c>
      <c r="AQ32" s="546">
        <v>12</v>
      </c>
      <c r="AR32" s="546">
        <v>8</v>
      </c>
      <c r="AS32" s="546">
        <v>5</v>
      </c>
      <c r="AT32" s="546">
        <v>4</v>
      </c>
      <c r="AU32" s="546">
        <v>9</v>
      </c>
      <c r="AV32" s="546">
        <v>11</v>
      </c>
      <c r="AW32" s="546">
        <v>11</v>
      </c>
      <c r="AX32" s="546">
        <v>12</v>
      </c>
      <c r="AY32" s="546">
        <v>9</v>
      </c>
      <c r="AZ32" s="546">
        <v>8</v>
      </c>
      <c r="BA32" s="546">
        <v>13</v>
      </c>
      <c r="BB32" s="546">
        <v>10</v>
      </c>
      <c r="BC32" s="546">
        <v>9</v>
      </c>
      <c r="BD32" s="546">
        <v>9</v>
      </c>
      <c r="BE32" s="546">
        <v>15</v>
      </c>
      <c r="BF32" s="546">
        <v>12</v>
      </c>
      <c r="BG32" s="546">
        <v>9</v>
      </c>
      <c r="BH32" s="546">
        <v>5</v>
      </c>
      <c r="BI32" s="536"/>
      <c r="BJ32" s="543">
        <v>6</v>
      </c>
      <c r="BK32" s="543">
        <v>-1</v>
      </c>
      <c r="BL32" s="536"/>
      <c r="BM32" s="543">
        <v>8</v>
      </c>
      <c r="BN32" s="543">
        <v>8</v>
      </c>
      <c r="BO32" s="543">
        <v>8</v>
      </c>
      <c r="BP32" s="543">
        <v>8</v>
      </c>
      <c r="BQ32" s="543">
        <v>8</v>
      </c>
      <c r="BR32" s="543">
        <v>8</v>
      </c>
      <c r="BS32" s="543">
        <v>107</v>
      </c>
      <c r="BT32" s="536"/>
      <c r="BU32" s="543">
        <v>8</v>
      </c>
      <c r="BV32" s="543">
        <v>8</v>
      </c>
      <c r="BW32" s="543">
        <v>8</v>
      </c>
      <c r="BX32" s="543">
        <v>8</v>
      </c>
      <c r="BY32" s="543">
        <v>8</v>
      </c>
      <c r="BZ32" s="543">
        <v>8</v>
      </c>
      <c r="CA32" s="545">
        <v>48</v>
      </c>
      <c r="CB32" s="545">
        <v>96</v>
      </c>
      <c r="CC32" s="536"/>
      <c r="CD32" s="543">
        <v>6</v>
      </c>
      <c r="CE32" s="543">
        <v>5</v>
      </c>
      <c r="CG32" s="543">
        <v>4</v>
      </c>
      <c r="CH32" s="543">
        <v>3</v>
      </c>
      <c r="CI32" s="543">
        <v>3</v>
      </c>
      <c r="CJ32" s="543">
        <v>5</v>
      </c>
      <c r="CK32" s="543">
        <v>4</v>
      </c>
      <c r="CL32" s="543">
        <v>6</v>
      </c>
      <c r="CM32" s="543">
        <v>4</v>
      </c>
      <c r="CN32" s="543">
        <v>3</v>
      </c>
      <c r="CO32" s="543">
        <v>5</v>
      </c>
      <c r="CP32" s="546">
        <v>5</v>
      </c>
      <c r="CQ32" s="546">
        <v>4</v>
      </c>
      <c r="CR32" s="544" t="s">
        <v>499</v>
      </c>
    </row>
    <row r="33" spans="1:96" s="559" customFormat="1" outlineLevel="1" x14ac:dyDescent="0.2">
      <c r="A33" s="559" t="e">
        <v>#N/A</v>
      </c>
      <c r="C33" s="560" t="s">
        <v>775</v>
      </c>
      <c r="E33" s="559">
        <v>7</v>
      </c>
      <c r="F33" s="562">
        <v>11</v>
      </c>
      <c r="Q33" s="559" t="s">
        <v>896</v>
      </c>
      <c r="R33" s="559" t="s">
        <v>896</v>
      </c>
      <c r="S33" s="559" t="s">
        <v>896</v>
      </c>
      <c r="T33" s="559" t="s">
        <v>896</v>
      </c>
      <c r="U33" s="559" t="s">
        <v>896</v>
      </c>
      <c r="V33" s="559" t="s">
        <v>896</v>
      </c>
      <c r="W33" s="559" t="s">
        <v>896</v>
      </c>
      <c r="X33" s="559" t="s">
        <v>896</v>
      </c>
      <c r="Y33" s="559" t="s">
        <v>896</v>
      </c>
      <c r="Z33" s="559" t="s">
        <v>896</v>
      </c>
      <c r="AA33" s="559" t="s">
        <v>896</v>
      </c>
      <c r="AB33" s="559" t="s">
        <v>896</v>
      </c>
      <c r="AC33" s="559" t="s">
        <v>896</v>
      </c>
      <c r="AD33" s="559" t="s">
        <v>896</v>
      </c>
      <c r="AE33" s="559" t="s">
        <v>896</v>
      </c>
      <c r="AF33" s="559" t="s">
        <v>896</v>
      </c>
      <c r="AG33" s="559" t="s">
        <v>896</v>
      </c>
      <c r="AH33" s="559" t="s">
        <v>896</v>
      </c>
      <c r="AI33" s="559" t="s">
        <v>896</v>
      </c>
      <c r="AJ33" s="561" t="s">
        <v>896</v>
      </c>
      <c r="AK33" s="561" t="s">
        <v>896</v>
      </c>
      <c r="AL33" s="561" t="s">
        <v>896</v>
      </c>
      <c r="AM33" s="561" t="s">
        <v>896</v>
      </c>
      <c r="AN33" s="561" t="s">
        <v>896</v>
      </c>
      <c r="AO33" s="561" t="s">
        <v>896</v>
      </c>
      <c r="AP33" s="561" t="s">
        <v>896</v>
      </c>
      <c r="AQ33" s="561" t="s">
        <v>896</v>
      </c>
      <c r="AR33" s="561" t="s">
        <v>896</v>
      </c>
      <c r="AS33" s="561" t="s">
        <v>896</v>
      </c>
      <c r="AT33" s="561" t="s">
        <v>896</v>
      </c>
      <c r="AU33" s="561" t="s">
        <v>896</v>
      </c>
      <c r="AV33" s="561" t="s">
        <v>896</v>
      </c>
      <c r="AW33" s="561" t="s">
        <v>896</v>
      </c>
      <c r="AX33" s="561" t="s">
        <v>896</v>
      </c>
      <c r="AY33" s="561" t="s">
        <v>896</v>
      </c>
      <c r="AZ33" s="561" t="s">
        <v>896</v>
      </c>
      <c r="BA33" s="561" t="s">
        <v>896</v>
      </c>
      <c r="BB33" s="561" t="s">
        <v>896</v>
      </c>
      <c r="BC33" s="561" t="s">
        <v>896</v>
      </c>
      <c r="BD33" s="561" t="s">
        <v>896</v>
      </c>
      <c r="BE33" s="561" t="s">
        <v>896</v>
      </c>
      <c r="BF33" s="561" t="s">
        <v>896</v>
      </c>
      <c r="BG33" s="561" t="s">
        <v>896</v>
      </c>
      <c r="BH33" s="561" t="s">
        <v>896</v>
      </c>
      <c r="BI33" s="536"/>
      <c r="BJ33" s="559">
        <v>0</v>
      </c>
      <c r="BK33" s="559">
        <v>0</v>
      </c>
      <c r="BL33" s="536"/>
      <c r="BM33" s="559">
        <v>0</v>
      </c>
      <c r="BN33" s="559">
        <v>0</v>
      </c>
      <c r="BO33" s="559">
        <v>0</v>
      </c>
      <c r="BP33" s="559">
        <v>0</v>
      </c>
      <c r="BQ33" s="559">
        <v>0</v>
      </c>
      <c r="BR33" s="559">
        <v>0</v>
      </c>
      <c r="BS33" s="543">
        <v>0</v>
      </c>
      <c r="BT33" s="536"/>
      <c r="BU33" s="559">
        <v>3</v>
      </c>
      <c r="BV33" s="559">
        <v>3</v>
      </c>
      <c r="BW33" s="559">
        <v>3</v>
      </c>
      <c r="BX33" s="559">
        <v>3</v>
      </c>
      <c r="BY33" s="559">
        <v>3</v>
      </c>
      <c r="BZ33" s="559">
        <v>3</v>
      </c>
      <c r="CA33" s="545">
        <v>18</v>
      </c>
      <c r="CB33" s="545">
        <v>36</v>
      </c>
      <c r="CC33" s="536"/>
      <c r="CK33" s="559" t="s">
        <v>896</v>
      </c>
      <c r="CL33" s="559" t="s">
        <v>896</v>
      </c>
      <c r="CM33" s="559" t="s">
        <v>896</v>
      </c>
      <c r="CN33" s="559" t="s">
        <v>896</v>
      </c>
      <c r="CO33" s="559" t="s">
        <v>896</v>
      </c>
      <c r="CP33" s="559" t="s">
        <v>896</v>
      </c>
      <c r="CQ33" s="559" t="s">
        <v>896</v>
      </c>
      <c r="CR33" s="544" t="s">
        <v>499</v>
      </c>
    </row>
    <row r="34" spans="1:96" s="549" customFormat="1" ht="15.75" thickBot="1" x14ac:dyDescent="0.25">
      <c r="C34" s="550"/>
      <c r="F34" s="551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36"/>
      <c r="BL34" s="536"/>
      <c r="BS34" s="543"/>
      <c r="BT34" s="536"/>
      <c r="CA34" s="551"/>
      <c r="CB34" s="551"/>
      <c r="CC34" s="536"/>
      <c r="CR34" s="550"/>
    </row>
    <row r="35" spans="1:96" s="581" customFormat="1" ht="15.75" thickBot="1" x14ac:dyDescent="0.25">
      <c r="A35" s="578" t="s">
        <v>776</v>
      </c>
      <c r="B35" s="579"/>
      <c r="C35" s="580" t="s">
        <v>275</v>
      </c>
      <c r="F35" s="582"/>
      <c r="AE35" s="583">
        <v>0</v>
      </c>
      <c r="AF35" s="583">
        <v>0</v>
      </c>
      <c r="AG35" s="583">
        <v>0</v>
      </c>
      <c r="AH35" s="583">
        <v>0</v>
      </c>
      <c r="AI35" s="583">
        <v>0</v>
      </c>
      <c r="AJ35" s="583">
        <v>0</v>
      </c>
      <c r="AK35" s="583">
        <v>0</v>
      </c>
      <c r="AL35" s="583">
        <v>0</v>
      </c>
      <c r="AM35" s="583">
        <v>0</v>
      </c>
      <c r="AN35" s="583">
        <v>0</v>
      </c>
      <c r="AO35" s="583">
        <v>0</v>
      </c>
      <c r="AP35" s="583">
        <v>0</v>
      </c>
      <c r="AQ35" s="583">
        <v>0</v>
      </c>
      <c r="AR35" s="583">
        <v>0</v>
      </c>
      <c r="AS35" s="583">
        <v>0</v>
      </c>
      <c r="AT35" s="583">
        <v>0</v>
      </c>
      <c r="AU35" s="583">
        <v>0</v>
      </c>
      <c r="AV35" s="583">
        <v>0</v>
      </c>
      <c r="AW35" s="583">
        <v>0</v>
      </c>
      <c r="AX35" s="583">
        <v>0</v>
      </c>
      <c r="AY35" s="583">
        <v>0</v>
      </c>
      <c r="AZ35" s="583">
        <v>0</v>
      </c>
      <c r="BA35" s="583">
        <v>0</v>
      </c>
      <c r="BB35" s="583">
        <v>0</v>
      </c>
      <c r="BC35" s="583">
        <v>0</v>
      </c>
      <c r="BD35" s="583">
        <v>0</v>
      </c>
      <c r="BE35" s="583">
        <v>0</v>
      </c>
      <c r="BF35" s="583">
        <v>0</v>
      </c>
      <c r="BG35" s="583">
        <v>0</v>
      </c>
      <c r="BH35" s="583">
        <v>0</v>
      </c>
      <c r="BI35" s="536"/>
      <c r="BJ35" s="583">
        <v>0</v>
      </c>
      <c r="BK35" s="583">
        <v>0</v>
      </c>
      <c r="BL35" s="536"/>
      <c r="BM35" s="583">
        <v>0</v>
      </c>
      <c r="BN35" s="583">
        <v>0</v>
      </c>
      <c r="BO35" s="583">
        <v>0</v>
      </c>
      <c r="BP35" s="583">
        <v>0</v>
      </c>
      <c r="BQ35" s="583">
        <v>0</v>
      </c>
      <c r="BR35" s="583">
        <v>0</v>
      </c>
      <c r="BS35" s="583">
        <v>0</v>
      </c>
      <c r="BT35" s="536"/>
      <c r="BU35" s="583">
        <v>0</v>
      </c>
      <c r="BV35" s="583">
        <v>0</v>
      </c>
      <c r="BW35" s="583">
        <v>0</v>
      </c>
      <c r="BX35" s="583">
        <v>0</v>
      </c>
      <c r="BY35" s="583">
        <v>0</v>
      </c>
      <c r="BZ35" s="583">
        <v>0</v>
      </c>
      <c r="CA35" s="583">
        <v>0</v>
      </c>
      <c r="CB35" s="583">
        <v>0</v>
      </c>
      <c r="CC35" s="536"/>
      <c r="CR35" s="584"/>
    </row>
    <row r="36" spans="1:96" s="543" customFormat="1" x14ac:dyDescent="0.2">
      <c r="A36" s="543" t="s">
        <v>896</v>
      </c>
      <c r="C36" s="544"/>
      <c r="F36" s="545"/>
      <c r="AJ36" s="557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  <c r="BA36" s="557"/>
      <c r="BB36" s="557"/>
      <c r="BC36" s="557"/>
      <c r="BD36" s="557"/>
      <c r="BE36" s="557"/>
      <c r="BF36" s="557"/>
      <c r="BG36" s="557"/>
      <c r="BH36" s="557"/>
      <c r="BI36" s="536"/>
      <c r="BK36" s="543" t="s">
        <v>896</v>
      </c>
      <c r="BL36" s="536"/>
      <c r="BS36" s="543" t="s">
        <v>896</v>
      </c>
      <c r="BT36" s="536"/>
      <c r="CA36" s="545"/>
      <c r="CB36" s="545"/>
      <c r="CC36" s="536"/>
      <c r="CK36" s="543" t="s">
        <v>896</v>
      </c>
      <c r="CL36" s="543" t="s">
        <v>896</v>
      </c>
      <c r="CM36" s="543" t="s">
        <v>896</v>
      </c>
      <c r="CN36" s="543" t="s">
        <v>896</v>
      </c>
      <c r="CO36" s="543" t="s">
        <v>896</v>
      </c>
      <c r="CP36" s="543" t="s">
        <v>896</v>
      </c>
      <c r="CQ36" s="543" t="s">
        <v>896</v>
      </c>
      <c r="CR36" s="544"/>
    </row>
    <row r="37" spans="1:96" s="588" customFormat="1" ht="5.25" customHeight="1" x14ac:dyDescent="0.2">
      <c r="A37" s="585" t="s">
        <v>896</v>
      </c>
      <c r="B37" s="585"/>
      <c r="C37" s="586"/>
      <c r="D37" s="585"/>
      <c r="E37" s="587"/>
      <c r="F37" s="587"/>
      <c r="G37" s="587"/>
      <c r="H37" s="585"/>
      <c r="I37" s="587"/>
      <c r="J37" s="587"/>
      <c r="K37" s="587"/>
      <c r="AJ37" s="589"/>
      <c r="AK37" s="589"/>
      <c r="AL37" s="589"/>
      <c r="AM37" s="589"/>
      <c r="AN37" s="589"/>
      <c r="AO37" s="589"/>
      <c r="AP37" s="589"/>
      <c r="AQ37" s="589"/>
      <c r="AR37" s="589"/>
      <c r="AS37" s="589"/>
      <c r="AT37" s="589"/>
      <c r="AU37" s="589"/>
      <c r="AV37" s="589"/>
      <c r="AW37" s="589"/>
      <c r="AX37" s="589"/>
      <c r="AY37" s="589"/>
      <c r="AZ37" s="589"/>
      <c r="BA37" s="589"/>
      <c r="BB37" s="589"/>
      <c r="BC37" s="589"/>
      <c r="BD37" s="589"/>
      <c r="BE37" s="589"/>
      <c r="BF37" s="589"/>
      <c r="BG37" s="589"/>
      <c r="BH37" s="589"/>
      <c r="BI37" s="530"/>
      <c r="BK37" s="587" t="s">
        <v>896</v>
      </c>
      <c r="BL37" s="530"/>
      <c r="BS37" s="590" t="e">
        <v>#NAME?</v>
      </c>
      <c r="BT37" s="530"/>
      <c r="CA37" s="590" t="e">
        <v>#REF!</v>
      </c>
      <c r="CB37" s="590" t="e">
        <v>#REF!</v>
      </c>
      <c r="CC37" s="530"/>
      <c r="CK37" s="588" t="s">
        <v>896</v>
      </c>
      <c r="CL37" s="588" t="s">
        <v>896</v>
      </c>
      <c r="CM37" s="588" t="s">
        <v>896</v>
      </c>
      <c r="CN37" s="588" t="s">
        <v>896</v>
      </c>
      <c r="CO37" s="588" t="s">
        <v>896</v>
      </c>
      <c r="CP37" s="588" t="s">
        <v>896</v>
      </c>
      <c r="CQ37" s="588" t="s">
        <v>896</v>
      </c>
      <c r="CR37" s="591"/>
    </row>
    <row r="38" spans="1:96" s="559" customFormat="1" ht="15.75" thickBot="1" x14ac:dyDescent="0.25">
      <c r="A38" s="559" t="s">
        <v>896</v>
      </c>
      <c r="C38" s="560"/>
      <c r="F38" s="562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1"/>
      <c r="BG38" s="561"/>
      <c r="BH38" s="561"/>
      <c r="BI38" s="536"/>
      <c r="BK38" s="559" t="s">
        <v>896</v>
      </c>
      <c r="BL38" s="536"/>
      <c r="BS38" s="562" t="s">
        <v>896</v>
      </c>
      <c r="BT38" s="536"/>
      <c r="CA38" s="562"/>
      <c r="CB38" s="562"/>
      <c r="CC38" s="536"/>
      <c r="CK38" s="559" t="s">
        <v>896</v>
      </c>
      <c r="CL38" s="559" t="s">
        <v>896</v>
      </c>
      <c r="CM38" s="559" t="s">
        <v>896</v>
      </c>
      <c r="CN38" s="559" t="s">
        <v>896</v>
      </c>
      <c r="CO38" s="559" t="s">
        <v>896</v>
      </c>
      <c r="CP38" s="559" t="s">
        <v>896</v>
      </c>
      <c r="CQ38" s="559" t="s">
        <v>896</v>
      </c>
      <c r="CR38" s="560"/>
    </row>
    <row r="39" spans="1:96" s="593" customFormat="1" ht="15.75" thickBot="1" x14ac:dyDescent="0.25">
      <c r="A39" s="592" t="s">
        <v>776</v>
      </c>
      <c r="C39" s="594" t="s">
        <v>777</v>
      </c>
      <c r="E39" s="593">
        <v>19</v>
      </c>
      <c r="F39" s="595">
        <v>18</v>
      </c>
      <c r="G39" s="595">
        <v>12</v>
      </c>
      <c r="H39" s="595">
        <v>19</v>
      </c>
      <c r="I39" s="595">
        <v>22</v>
      </c>
      <c r="J39" s="595">
        <v>9</v>
      </c>
      <c r="K39" s="595">
        <v>10</v>
      </c>
      <c r="L39" s="595">
        <v>17</v>
      </c>
      <c r="M39" s="595">
        <v>10</v>
      </c>
      <c r="N39" s="595">
        <v>12</v>
      </c>
      <c r="O39" s="595">
        <v>10</v>
      </c>
      <c r="P39" s="595">
        <v>12</v>
      </c>
      <c r="Q39" s="595">
        <v>7</v>
      </c>
      <c r="R39" s="595">
        <v>19</v>
      </c>
      <c r="S39" s="595">
        <v>13</v>
      </c>
      <c r="T39" s="595">
        <v>12</v>
      </c>
      <c r="U39" s="595">
        <v>9</v>
      </c>
      <c r="V39" s="595">
        <v>10</v>
      </c>
      <c r="W39" s="595">
        <v>7</v>
      </c>
      <c r="X39" s="595">
        <v>7</v>
      </c>
      <c r="Y39" s="595">
        <v>9</v>
      </c>
      <c r="Z39" s="595">
        <v>12</v>
      </c>
      <c r="AA39" s="595">
        <v>12</v>
      </c>
      <c r="AB39" s="595">
        <v>7</v>
      </c>
      <c r="AC39" s="595">
        <v>10</v>
      </c>
      <c r="AD39" s="595">
        <v>13</v>
      </c>
      <c r="AE39" s="595">
        <v>17</v>
      </c>
      <c r="AF39" s="595">
        <v>14</v>
      </c>
      <c r="AG39" s="595">
        <v>10</v>
      </c>
      <c r="AH39" s="595">
        <v>15</v>
      </c>
      <c r="AI39" s="595">
        <v>16</v>
      </c>
      <c r="AJ39" s="595">
        <v>16</v>
      </c>
      <c r="AK39" s="595">
        <v>4</v>
      </c>
      <c r="AL39" s="595">
        <v>12</v>
      </c>
      <c r="AM39" s="595">
        <v>7</v>
      </c>
      <c r="AN39" s="595">
        <v>8</v>
      </c>
      <c r="AO39" s="595">
        <v>9</v>
      </c>
      <c r="AP39" s="595">
        <v>23</v>
      </c>
      <c r="AQ39" s="595">
        <v>15</v>
      </c>
      <c r="AR39" s="595">
        <v>7</v>
      </c>
      <c r="AS39" s="595">
        <v>9</v>
      </c>
      <c r="AT39" s="595">
        <v>22</v>
      </c>
      <c r="AU39" s="595">
        <v>14</v>
      </c>
      <c r="AV39" s="595">
        <v>13</v>
      </c>
      <c r="AW39" s="595">
        <v>11</v>
      </c>
      <c r="AX39" s="595">
        <v>13</v>
      </c>
      <c r="AY39" s="595">
        <v>12</v>
      </c>
      <c r="AZ39" s="595">
        <v>22</v>
      </c>
      <c r="BA39" s="595">
        <v>24</v>
      </c>
      <c r="BB39" s="595">
        <v>27</v>
      </c>
      <c r="BC39" s="595">
        <v>21</v>
      </c>
      <c r="BD39" s="595">
        <v>30</v>
      </c>
      <c r="BE39" s="595">
        <v>24</v>
      </c>
      <c r="BF39" s="595">
        <v>25</v>
      </c>
      <c r="BG39" s="595">
        <v>30</v>
      </c>
      <c r="BH39" s="595">
        <v>21</v>
      </c>
      <c r="BI39" s="542"/>
      <c r="BJ39" s="595">
        <v>21</v>
      </c>
      <c r="BK39" s="595">
        <v>0</v>
      </c>
      <c r="BL39" s="542"/>
      <c r="BM39" s="595">
        <v>27</v>
      </c>
      <c r="BN39" s="595">
        <v>26</v>
      </c>
      <c r="BO39" s="595">
        <v>26</v>
      </c>
      <c r="BP39" s="595">
        <v>26</v>
      </c>
      <c r="BQ39" s="595">
        <v>26</v>
      </c>
      <c r="BR39" s="595">
        <v>26</v>
      </c>
      <c r="BS39" s="595">
        <v>308</v>
      </c>
      <c r="BT39" s="542"/>
      <c r="BU39" s="595">
        <v>23</v>
      </c>
      <c r="BV39" s="595">
        <v>23</v>
      </c>
      <c r="BW39" s="595">
        <v>23</v>
      </c>
      <c r="BX39" s="595">
        <v>23</v>
      </c>
      <c r="BY39" s="595">
        <v>23</v>
      </c>
      <c r="BZ39" s="595">
        <v>23</v>
      </c>
      <c r="CA39" s="595">
        <v>138</v>
      </c>
      <c r="CB39" s="595">
        <v>276</v>
      </c>
      <c r="CC39" s="542"/>
      <c r="CK39" s="593" t="s">
        <v>896</v>
      </c>
      <c r="CL39" s="593" t="s">
        <v>896</v>
      </c>
      <c r="CM39" s="593" t="s">
        <v>896</v>
      </c>
      <c r="CN39" s="593" t="s">
        <v>896</v>
      </c>
      <c r="CO39" s="593" t="s">
        <v>896</v>
      </c>
      <c r="CP39" s="593" t="s">
        <v>896</v>
      </c>
      <c r="CQ39" s="593" t="s">
        <v>896</v>
      </c>
      <c r="CR39" s="594"/>
    </row>
    <row r="40" spans="1:96" s="559" customFormat="1" outlineLevel="1" x14ac:dyDescent="0.2">
      <c r="A40" s="559">
        <v>46722</v>
      </c>
      <c r="C40" s="560" t="s">
        <v>778</v>
      </c>
      <c r="E40" s="559">
        <v>0</v>
      </c>
      <c r="F40" s="562"/>
      <c r="G40" s="559">
        <v>1</v>
      </c>
      <c r="H40" s="559">
        <v>6</v>
      </c>
      <c r="I40" s="559">
        <v>7</v>
      </c>
      <c r="J40" s="559">
        <v>1</v>
      </c>
      <c r="K40" s="559">
        <v>2</v>
      </c>
      <c r="L40" s="559">
        <v>1</v>
      </c>
      <c r="N40" s="559">
        <v>2</v>
      </c>
      <c r="O40" s="559">
        <v>2</v>
      </c>
      <c r="Q40" s="559" t="s">
        <v>896</v>
      </c>
      <c r="R40" s="559" t="s">
        <v>896</v>
      </c>
      <c r="S40" s="559" t="s">
        <v>896</v>
      </c>
      <c r="T40" s="559" t="s">
        <v>896</v>
      </c>
      <c r="U40" s="559" t="s">
        <v>896</v>
      </c>
      <c r="V40" s="558" t="s">
        <v>896</v>
      </c>
      <c r="W40" s="558" t="s">
        <v>896</v>
      </c>
      <c r="X40" s="558" t="s">
        <v>896</v>
      </c>
      <c r="Y40" s="558" t="s">
        <v>896</v>
      </c>
      <c r="Z40" s="558" t="s">
        <v>896</v>
      </c>
      <c r="AA40" s="558" t="s">
        <v>896</v>
      </c>
      <c r="AB40" s="558" t="s">
        <v>896</v>
      </c>
      <c r="AC40" s="558" t="s">
        <v>896</v>
      </c>
      <c r="AD40" s="558" t="s">
        <v>896</v>
      </c>
      <c r="AE40" s="558" t="s">
        <v>896</v>
      </c>
      <c r="AF40" s="558" t="s">
        <v>896</v>
      </c>
      <c r="AG40" s="558" t="s">
        <v>896</v>
      </c>
      <c r="AH40" s="558" t="s">
        <v>896</v>
      </c>
      <c r="AI40" s="558" t="s">
        <v>896</v>
      </c>
      <c r="AJ40" s="563" t="s">
        <v>896</v>
      </c>
      <c r="AK40" s="563" t="s">
        <v>896</v>
      </c>
      <c r="AL40" s="563" t="s">
        <v>896</v>
      </c>
      <c r="AM40" s="563" t="s">
        <v>896</v>
      </c>
      <c r="AN40" s="563" t="s">
        <v>896</v>
      </c>
      <c r="AO40" s="563" t="s">
        <v>896</v>
      </c>
      <c r="AP40" s="563" t="s">
        <v>896</v>
      </c>
      <c r="AQ40" s="563" t="s">
        <v>896</v>
      </c>
      <c r="AR40" s="563" t="s">
        <v>896</v>
      </c>
      <c r="AS40" s="563">
        <v>0</v>
      </c>
      <c r="AT40" s="558">
        <v>2</v>
      </c>
      <c r="AU40" s="558">
        <v>5</v>
      </c>
      <c r="AV40" s="558">
        <v>3</v>
      </c>
      <c r="AW40" s="558">
        <v>2</v>
      </c>
      <c r="AX40" s="558">
        <v>4</v>
      </c>
      <c r="AY40" s="558">
        <v>2</v>
      </c>
      <c r="AZ40" s="558">
        <v>2</v>
      </c>
      <c r="BA40" s="558" t="s">
        <v>896</v>
      </c>
      <c r="BB40" s="558">
        <v>6</v>
      </c>
      <c r="BC40" s="558">
        <v>1</v>
      </c>
      <c r="BD40" s="558">
        <v>2</v>
      </c>
      <c r="BE40" s="558">
        <v>4</v>
      </c>
      <c r="BF40" s="558">
        <v>6</v>
      </c>
      <c r="BG40" s="558">
        <v>3</v>
      </c>
      <c r="BH40" s="558">
        <v>7</v>
      </c>
      <c r="BI40" s="536"/>
      <c r="BJ40" s="559">
        <v>6</v>
      </c>
      <c r="BK40" s="559">
        <v>1</v>
      </c>
      <c r="BL40" s="536"/>
      <c r="BM40" s="559">
        <v>1</v>
      </c>
      <c r="BN40" s="559">
        <v>4</v>
      </c>
      <c r="BO40" s="559">
        <v>4</v>
      </c>
      <c r="BP40" s="559">
        <v>4</v>
      </c>
      <c r="BQ40" s="559">
        <v>4</v>
      </c>
      <c r="BR40" s="559">
        <v>4</v>
      </c>
      <c r="BS40" s="543">
        <v>44</v>
      </c>
      <c r="BT40" s="536"/>
      <c r="BU40" s="559">
        <v>4</v>
      </c>
      <c r="BV40" s="559">
        <v>4</v>
      </c>
      <c r="BW40" s="559">
        <v>4</v>
      </c>
      <c r="BX40" s="559">
        <v>4</v>
      </c>
      <c r="BY40" s="559">
        <v>4</v>
      </c>
      <c r="BZ40" s="559">
        <v>4</v>
      </c>
      <c r="CA40" s="545">
        <v>24</v>
      </c>
      <c r="CB40" s="545">
        <v>48</v>
      </c>
      <c r="CC40" s="536"/>
      <c r="CD40" s="559">
        <v>1</v>
      </c>
      <c r="CE40" s="559">
        <v>3</v>
      </c>
      <c r="CG40" s="559">
        <v>2</v>
      </c>
      <c r="CH40" s="559">
        <v>1</v>
      </c>
      <c r="CJ40" s="559">
        <v>1</v>
      </c>
      <c r="CK40" s="559" t="s">
        <v>896</v>
      </c>
      <c r="CL40" s="559" t="s">
        <v>896</v>
      </c>
      <c r="CM40" s="559" t="s">
        <v>896</v>
      </c>
      <c r="CN40" s="559" t="s">
        <v>896</v>
      </c>
      <c r="CO40" s="559" t="s">
        <v>896</v>
      </c>
      <c r="CP40" s="559" t="s">
        <v>896</v>
      </c>
      <c r="CQ40" s="558" t="s">
        <v>896</v>
      </c>
      <c r="CR40" s="544" t="s">
        <v>779</v>
      </c>
    </row>
    <row r="41" spans="1:96" s="559" customFormat="1" outlineLevel="1" x14ac:dyDescent="0.2">
      <c r="A41" s="559">
        <v>37788</v>
      </c>
      <c r="C41" s="560" t="s">
        <v>780</v>
      </c>
      <c r="F41" s="562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63"/>
      <c r="AK41" s="563"/>
      <c r="AL41" s="563"/>
      <c r="AM41" s="563"/>
      <c r="AN41" s="563"/>
      <c r="AO41" s="563"/>
      <c r="AP41" s="563"/>
      <c r="AQ41" s="563"/>
      <c r="AR41" s="563"/>
      <c r="AS41" s="563"/>
      <c r="AT41" s="558">
        <v>4</v>
      </c>
      <c r="AU41" s="558" t="s">
        <v>896</v>
      </c>
      <c r="AV41" s="558" t="s">
        <v>896</v>
      </c>
      <c r="AW41" s="558">
        <v>2</v>
      </c>
      <c r="AX41" s="558" t="s">
        <v>896</v>
      </c>
      <c r="AY41" s="558" t="s">
        <v>896</v>
      </c>
      <c r="AZ41" s="558" t="s">
        <v>896</v>
      </c>
      <c r="BA41" s="558" t="s">
        <v>896</v>
      </c>
      <c r="BB41" s="558" t="s">
        <v>896</v>
      </c>
      <c r="BC41" s="558" t="s">
        <v>896</v>
      </c>
      <c r="BD41" s="558" t="s">
        <v>896</v>
      </c>
      <c r="BE41" s="558" t="s">
        <v>896</v>
      </c>
      <c r="BF41" s="558" t="s">
        <v>896</v>
      </c>
      <c r="BG41" s="558" t="s">
        <v>896</v>
      </c>
      <c r="BH41" s="558" t="s">
        <v>896</v>
      </c>
      <c r="BI41" s="536"/>
      <c r="BJ41" s="559">
        <v>0</v>
      </c>
      <c r="BK41" s="559">
        <v>0</v>
      </c>
      <c r="BL41" s="536"/>
      <c r="BM41" s="559">
        <v>0</v>
      </c>
      <c r="BN41" s="559">
        <v>0</v>
      </c>
      <c r="BO41" s="559">
        <v>0</v>
      </c>
      <c r="BP41" s="559">
        <v>0</v>
      </c>
      <c r="BQ41" s="559">
        <v>0</v>
      </c>
      <c r="BR41" s="559">
        <v>0</v>
      </c>
      <c r="BS41" s="543">
        <v>0</v>
      </c>
      <c r="BT41" s="536"/>
      <c r="BU41" s="559">
        <v>0</v>
      </c>
      <c r="BV41" s="559">
        <v>0</v>
      </c>
      <c r="BW41" s="559">
        <v>0</v>
      </c>
      <c r="BX41" s="559">
        <v>0</v>
      </c>
      <c r="BY41" s="559">
        <v>0</v>
      </c>
      <c r="BZ41" s="559">
        <v>0</v>
      </c>
      <c r="CA41" s="545">
        <v>0</v>
      </c>
      <c r="CB41" s="545">
        <v>0</v>
      </c>
      <c r="CC41" s="536"/>
      <c r="CQ41" s="558"/>
      <c r="CR41" s="544" t="s">
        <v>499</v>
      </c>
    </row>
    <row r="42" spans="1:96" s="559" customFormat="1" outlineLevel="1" x14ac:dyDescent="0.2">
      <c r="A42" s="559">
        <v>37051</v>
      </c>
      <c r="C42" s="560" t="s">
        <v>781</v>
      </c>
      <c r="E42" s="559">
        <v>0</v>
      </c>
      <c r="F42" s="562"/>
      <c r="G42" s="559">
        <v>1</v>
      </c>
      <c r="H42" s="559">
        <v>6</v>
      </c>
      <c r="I42" s="559">
        <v>7</v>
      </c>
      <c r="J42" s="559">
        <v>1</v>
      </c>
      <c r="K42" s="559">
        <v>2</v>
      </c>
      <c r="L42" s="559">
        <v>1</v>
      </c>
      <c r="N42" s="559">
        <v>2</v>
      </c>
      <c r="O42" s="559">
        <v>2</v>
      </c>
      <c r="Q42" s="559" t="s">
        <v>896</v>
      </c>
      <c r="R42" s="559">
        <v>4</v>
      </c>
      <c r="S42" s="559">
        <v>2</v>
      </c>
      <c r="T42" s="559">
        <v>3</v>
      </c>
      <c r="U42" s="559">
        <v>2</v>
      </c>
      <c r="V42" s="558">
        <v>1</v>
      </c>
      <c r="W42" s="558">
        <v>1</v>
      </c>
      <c r="X42" s="558">
        <v>1</v>
      </c>
      <c r="Y42" s="558" t="s">
        <v>896</v>
      </c>
      <c r="Z42" s="558">
        <v>2</v>
      </c>
      <c r="AA42" s="558">
        <v>3</v>
      </c>
      <c r="AB42" s="558">
        <v>2</v>
      </c>
      <c r="AC42" s="558">
        <v>2</v>
      </c>
      <c r="AD42" s="558">
        <v>4</v>
      </c>
      <c r="AE42" s="558">
        <v>5</v>
      </c>
      <c r="AF42" s="558">
        <v>2</v>
      </c>
      <c r="AG42" s="558">
        <v>3</v>
      </c>
      <c r="AH42" s="558">
        <v>1</v>
      </c>
      <c r="AI42" s="558">
        <v>1</v>
      </c>
      <c r="AJ42" s="563" t="s">
        <v>896</v>
      </c>
      <c r="AK42" s="563" t="s">
        <v>896</v>
      </c>
      <c r="AL42" s="563">
        <v>2</v>
      </c>
      <c r="AM42" s="563" t="s">
        <v>896</v>
      </c>
      <c r="AN42" s="563" t="s">
        <v>896</v>
      </c>
      <c r="AO42" s="563" t="s">
        <v>896</v>
      </c>
      <c r="AP42" s="563">
        <v>3</v>
      </c>
      <c r="AQ42" s="563" t="s">
        <v>896</v>
      </c>
      <c r="AR42" s="563" t="s">
        <v>896</v>
      </c>
      <c r="AS42" s="563">
        <v>0</v>
      </c>
      <c r="AT42" s="558">
        <v>2</v>
      </c>
      <c r="AU42" s="558" t="s">
        <v>896</v>
      </c>
      <c r="AV42" s="558" t="s">
        <v>896</v>
      </c>
      <c r="AW42" s="558">
        <v>1</v>
      </c>
      <c r="AX42" s="558">
        <v>1</v>
      </c>
      <c r="AY42" s="558" t="s">
        <v>896</v>
      </c>
      <c r="AZ42" s="558" t="s">
        <v>896</v>
      </c>
      <c r="BA42" s="558" t="s">
        <v>896</v>
      </c>
      <c r="BB42" s="558">
        <v>3</v>
      </c>
      <c r="BC42" s="558">
        <v>3</v>
      </c>
      <c r="BD42" s="558" t="s">
        <v>896</v>
      </c>
      <c r="BE42" s="558" t="s">
        <v>896</v>
      </c>
      <c r="BF42" s="558" t="s">
        <v>896</v>
      </c>
      <c r="BG42" s="558" t="s">
        <v>896</v>
      </c>
      <c r="BH42" s="558" t="s">
        <v>896</v>
      </c>
      <c r="BI42" s="536"/>
      <c r="BJ42" s="559">
        <v>0</v>
      </c>
      <c r="BK42" s="559">
        <v>0</v>
      </c>
      <c r="BL42" s="536"/>
      <c r="BM42" s="559">
        <v>0</v>
      </c>
      <c r="BN42" s="559">
        <v>0</v>
      </c>
      <c r="BO42" s="559">
        <v>0</v>
      </c>
      <c r="BP42" s="559">
        <v>0</v>
      </c>
      <c r="BQ42" s="559">
        <v>0</v>
      </c>
      <c r="BR42" s="559">
        <v>0</v>
      </c>
      <c r="BS42" s="543">
        <v>3</v>
      </c>
      <c r="BT42" s="536"/>
      <c r="BU42" s="559">
        <v>0</v>
      </c>
      <c r="BV42" s="559">
        <v>0</v>
      </c>
      <c r="BW42" s="559">
        <v>0</v>
      </c>
      <c r="BX42" s="559">
        <v>0</v>
      </c>
      <c r="BY42" s="559">
        <v>0</v>
      </c>
      <c r="BZ42" s="559">
        <v>0</v>
      </c>
      <c r="CA42" s="545">
        <v>0</v>
      </c>
      <c r="CB42" s="545">
        <v>0</v>
      </c>
      <c r="CC42" s="536"/>
      <c r="CD42" s="559">
        <v>1</v>
      </c>
      <c r="CE42" s="559">
        <v>3</v>
      </c>
      <c r="CG42" s="559">
        <v>2</v>
      </c>
      <c r="CH42" s="559">
        <v>1</v>
      </c>
      <c r="CJ42" s="559">
        <v>1</v>
      </c>
      <c r="CK42" s="559" t="s">
        <v>896</v>
      </c>
      <c r="CL42" s="559" t="s">
        <v>896</v>
      </c>
      <c r="CM42" s="559">
        <v>2</v>
      </c>
      <c r="CN42" s="559">
        <v>1</v>
      </c>
      <c r="CO42" s="559">
        <v>2</v>
      </c>
      <c r="CP42" s="559">
        <v>1</v>
      </c>
      <c r="CQ42" s="558">
        <v>1</v>
      </c>
      <c r="CR42" s="544" t="s">
        <v>499</v>
      </c>
    </row>
    <row r="43" spans="1:96" s="559" customFormat="1" outlineLevel="1" x14ac:dyDescent="0.2">
      <c r="A43" s="559">
        <v>46102</v>
      </c>
      <c r="C43" s="560" t="s">
        <v>782</v>
      </c>
      <c r="F43" s="562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 t="s">
        <v>896</v>
      </c>
      <c r="AH43" s="558">
        <v>3</v>
      </c>
      <c r="AI43" s="558">
        <v>3</v>
      </c>
      <c r="AJ43" s="558">
        <v>6</v>
      </c>
      <c r="AK43" s="558">
        <v>2</v>
      </c>
      <c r="AL43" s="558">
        <v>3</v>
      </c>
      <c r="AM43" s="558">
        <v>4</v>
      </c>
      <c r="AN43" s="558">
        <v>2</v>
      </c>
      <c r="AO43" s="558">
        <v>1</v>
      </c>
      <c r="AP43" s="558">
        <v>5</v>
      </c>
      <c r="AQ43" s="558">
        <v>1</v>
      </c>
      <c r="AR43" s="558" t="s">
        <v>896</v>
      </c>
      <c r="AS43" s="558">
        <v>0</v>
      </c>
      <c r="AT43" s="558" t="s">
        <v>896</v>
      </c>
      <c r="AU43" s="558" t="s">
        <v>896</v>
      </c>
      <c r="AV43" s="558" t="s">
        <v>896</v>
      </c>
      <c r="AW43" s="558" t="s">
        <v>896</v>
      </c>
      <c r="AX43" s="558" t="s">
        <v>896</v>
      </c>
      <c r="AY43" s="558" t="s">
        <v>896</v>
      </c>
      <c r="AZ43" s="558" t="s">
        <v>896</v>
      </c>
      <c r="BA43" s="558" t="s">
        <v>896</v>
      </c>
      <c r="BB43" s="558" t="s">
        <v>896</v>
      </c>
      <c r="BC43" s="558" t="s">
        <v>896</v>
      </c>
      <c r="BD43" s="558" t="s">
        <v>896</v>
      </c>
      <c r="BE43" s="558" t="s">
        <v>896</v>
      </c>
      <c r="BF43" s="558" t="s">
        <v>896</v>
      </c>
      <c r="BG43" s="558" t="s">
        <v>896</v>
      </c>
      <c r="BH43" s="558" t="s">
        <v>896</v>
      </c>
      <c r="BI43" s="536"/>
      <c r="BJ43" s="559">
        <v>0</v>
      </c>
      <c r="BK43" s="559">
        <v>0</v>
      </c>
      <c r="BL43" s="536"/>
      <c r="BM43" s="559">
        <v>0</v>
      </c>
      <c r="BN43" s="559">
        <v>0</v>
      </c>
      <c r="BO43" s="559">
        <v>0</v>
      </c>
      <c r="BP43" s="559">
        <v>0</v>
      </c>
      <c r="BQ43" s="559">
        <v>0</v>
      </c>
      <c r="BR43" s="559">
        <v>0</v>
      </c>
      <c r="BS43" s="543">
        <v>0</v>
      </c>
      <c r="BT43" s="536"/>
      <c r="BU43" s="559">
        <v>0</v>
      </c>
      <c r="BV43" s="559">
        <v>0</v>
      </c>
      <c r="BW43" s="559">
        <v>0</v>
      </c>
      <c r="BX43" s="559">
        <v>0</v>
      </c>
      <c r="BY43" s="559">
        <v>0</v>
      </c>
      <c r="BZ43" s="559">
        <v>0</v>
      </c>
      <c r="CA43" s="545">
        <v>0</v>
      </c>
      <c r="CB43" s="545">
        <v>0</v>
      </c>
      <c r="CC43" s="536"/>
      <c r="CQ43" s="558"/>
      <c r="CR43" s="544" t="s">
        <v>499</v>
      </c>
    </row>
    <row r="44" spans="1:96" s="559" customFormat="1" outlineLevel="1" x14ac:dyDescent="0.2">
      <c r="A44" s="559">
        <v>40915</v>
      </c>
      <c r="C44" s="560" t="s">
        <v>783</v>
      </c>
      <c r="E44" s="559">
        <v>15</v>
      </c>
      <c r="F44" s="562">
        <v>14</v>
      </c>
      <c r="G44" s="559">
        <v>6</v>
      </c>
      <c r="I44" s="559">
        <v>1</v>
      </c>
      <c r="J44" s="559">
        <v>6</v>
      </c>
      <c r="K44" s="559">
        <v>4</v>
      </c>
      <c r="L44" s="559">
        <v>12</v>
      </c>
      <c r="M44" s="559">
        <v>8</v>
      </c>
      <c r="N44" s="559">
        <v>5</v>
      </c>
      <c r="O44" s="559">
        <v>5</v>
      </c>
      <c r="P44" s="559">
        <v>10</v>
      </c>
      <c r="Q44" s="559">
        <v>5</v>
      </c>
      <c r="R44" s="559">
        <v>13</v>
      </c>
      <c r="S44" s="559">
        <v>9</v>
      </c>
      <c r="T44" s="559">
        <v>7</v>
      </c>
      <c r="U44" s="559">
        <v>5</v>
      </c>
      <c r="V44" s="558">
        <v>7</v>
      </c>
      <c r="W44" s="558">
        <v>6</v>
      </c>
      <c r="X44" s="558">
        <v>5</v>
      </c>
      <c r="Y44" s="558">
        <v>6</v>
      </c>
      <c r="Z44" s="558">
        <v>5</v>
      </c>
      <c r="AA44" s="558">
        <v>7</v>
      </c>
      <c r="AB44" s="558">
        <v>4</v>
      </c>
      <c r="AC44" s="558">
        <v>6</v>
      </c>
      <c r="AD44" s="558">
        <v>5</v>
      </c>
      <c r="AE44" s="558">
        <v>5</v>
      </c>
      <c r="AF44" s="558">
        <v>9</v>
      </c>
      <c r="AG44" s="558">
        <v>4</v>
      </c>
      <c r="AH44" s="558">
        <v>11</v>
      </c>
      <c r="AI44" s="558">
        <v>9</v>
      </c>
      <c r="AJ44" s="558">
        <v>10</v>
      </c>
      <c r="AK44" s="558">
        <v>1</v>
      </c>
      <c r="AL44" s="558">
        <v>7</v>
      </c>
      <c r="AM44" s="558">
        <v>3</v>
      </c>
      <c r="AN44" s="558">
        <v>5</v>
      </c>
      <c r="AO44" s="558">
        <v>7</v>
      </c>
      <c r="AP44" s="558">
        <v>11</v>
      </c>
      <c r="AQ44" s="558">
        <v>11</v>
      </c>
      <c r="AR44" s="558">
        <v>7</v>
      </c>
      <c r="AS44" s="558">
        <v>6</v>
      </c>
      <c r="AT44" s="558">
        <v>12</v>
      </c>
      <c r="AU44" s="558">
        <v>7</v>
      </c>
      <c r="AV44" s="558">
        <v>7</v>
      </c>
      <c r="AW44" s="558">
        <v>3</v>
      </c>
      <c r="AX44" s="558">
        <v>3</v>
      </c>
      <c r="AY44" s="558">
        <v>6</v>
      </c>
      <c r="AZ44" s="558">
        <v>11</v>
      </c>
      <c r="BA44" s="558">
        <v>13</v>
      </c>
      <c r="BB44" s="558">
        <v>11</v>
      </c>
      <c r="BC44" s="558">
        <v>5</v>
      </c>
      <c r="BD44" s="558">
        <v>20</v>
      </c>
      <c r="BE44" s="558">
        <v>10</v>
      </c>
      <c r="BF44" s="558">
        <v>12</v>
      </c>
      <c r="BG44" s="558">
        <v>11</v>
      </c>
      <c r="BH44" s="558">
        <v>7</v>
      </c>
      <c r="BI44" s="536"/>
      <c r="BJ44" s="559">
        <v>7</v>
      </c>
      <c r="BK44" s="559">
        <v>0</v>
      </c>
      <c r="BL44" s="536"/>
      <c r="BM44" s="559">
        <v>6</v>
      </c>
      <c r="BN44" s="559">
        <v>9</v>
      </c>
      <c r="BO44" s="559">
        <v>9</v>
      </c>
      <c r="BP44" s="559">
        <v>9</v>
      </c>
      <c r="BQ44" s="559">
        <v>9</v>
      </c>
      <c r="BR44" s="559">
        <v>9</v>
      </c>
      <c r="BS44" s="543">
        <v>116</v>
      </c>
      <c r="BT44" s="536"/>
      <c r="BU44" s="559">
        <v>9</v>
      </c>
      <c r="BV44" s="559">
        <v>9</v>
      </c>
      <c r="BW44" s="559">
        <v>9</v>
      </c>
      <c r="BX44" s="559">
        <v>9</v>
      </c>
      <c r="BY44" s="559">
        <v>9</v>
      </c>
      <c r="BZ44" s="559">
        <v>9</v>
      </c>
      <c r="CA44" s="545">
        <v>54</v>
      </c>
      <c r="CB44" s="545">
        <v>108</v>
      </c>
      <c r="CC44" s="536"/>
      <c r="CD44" s="559">
        <v>2</v>
      </c>
      <c r="CE44" s="559">
        <v>0</v>
      </c>
      <c r="CG44" s="559">
        <v>2</v>
      </c>
      <c r="CH44" s="559">
        <v>5</v>
      </c>
      <c r="CI44" s="559">
        <v>4</v>
      </c>
      <c r="CJ44" s="559">
        <v>2</v>
      </c>
      <c r="CK44" s="559">
        <v>4</v>
      </c>
      <c r="CL44" s="559">
        <v>3</v>
      </c>
      <c r="CM44" s="559">
        <v>5</v>
      </c>
      <c r="CN44" s="559">
        <v>3</v>
      </c>
      <c r="CO44" s="559">
        <v>4</v>
      </c>
      <c r="CP44" s="559">
        <v>2</v>
      </c>
      <c r="CQ44" s="558">
        <v>3</v>
      </c>
      <c r="CR44" s="544" t="s">
        <v>499</v>
      </c>
    </row>
    <row r="45" spans="1:96" s="559" customFormat="1" outlineLevel="1" x14ac:dyDescent="0.2">
      <c r="A45" s="559">
        <v>31161</v>
      </c>
      <c r="C45" s="560" t="s">
        <v>784</v>
      </c>
      <c r="E45" s="559">
        <v>0</v>
      </c>
      <c r="F45" s="562">
        <v>0</v>
      </c>
      <c r="H45" s="559">
        <v>2</v>
      </c>
      <c r="I45" s="559">
        <v>1</v>
      </c>
      <c r="N45" s="559">
        <v>1</v>
      </c>
      <c r="Q45" s="559" t="s">
        <v>896</v>
      </c>
      <c r="R45" s="559" t="s">
        <v>896</v>
      </c>
      <c r="S45" s="559" t="s">
        <v>896</v>
      </c>
      <c r="T45" s="559" t="s">
        <v>896</v>
      </c>
      <c r="U45" s="559" t="s">
        <v>896</v>
      </c>
      <c r="V45" s="558" t="s">
        <v>896</v>
      </c>
      <c r="W45" s="558" t="s">
        <v>896</v>
      </c>
      <c r="X45" s="558" t="s">
        <v>896</v>
      </c>
      <c r="Y45" s="558" t="s">
        <v>896</v>
      </c>
      <c r="Z45" s="558">
        <v>2</v>
      </c>
      <c r="AA45" s="558" t="s">
        <v>896</v>
      </c>
      <c r="AB45" s="558" t="s">
        <v>896</v>
      </c>
      <c r="AC45" s="558" t="s">
        <v>896</v>
      </c>
      <c r="AD45" s="558" t="s">
        <v>896</v>
      </c>
      <c r="AE45" s="558" t="s">
        <v>896</v>
      </c>
      <c r="AF45" s="558" t="s">
        <v>896</v>
      </c>
      <c r="AG45" s="558" t="s">
        <v>896</v>
      </c>
      <c r="AH45" s="558" t="s">
        <v>896</v>
      </c>
      <c r="AI45" s="558" t="s">
        <v>896</v>
      </c>
      <c r="AJ45" s="563" t="s">
        <v>896</v>
      </c>
      <c r="AK45" s="563" t="s">
        <v>896</v>
      </c>
      <c r="AL45" s="563" t="s">
        <v>896</v>
      </c>
      <c r="AM45" s="563" t="s">
        <v>896</v>
      </c>
      <c r="AN45" s="563" t="s">
        <v>896</v>
      </c>
      <c r="AO45" s="563" t="s">
        <v>896</v>
      </c>
      <c r="AP45" s="563">
        <v>2</v>
      </c>
      <c r="AQ45" s="563">
        <v>2</v>
      </c>
      <c r="AR45" s="563" t="s">
        <v>896</v>
      </c>
      <c r="AS45" s="563">
        <v>3</v>
      </c>
      <c r="AT45" s="563" t="s">
        <v>896</v>
      </c>
      <c r="AU45" s="563">
        <v>1</v>
      </c>
      <c r="AV45" s="563">
        <v>1</v>
      </c>
      <c r="AW45" s="563">
        <v>2</v>
      </c>
      <c r="AX45" s="563">
        <v>2</v>
      </c>
      <c r="AY45" s="563" t="s">
        <v>896</v>
      </c>
      <c r="AZ45" s="563">
        <v>3</v>
      </c>
      <c r="BA45" s="563">
        <v>8</v>
      </c>
      <c r="BB45" s="563">
        <v>7</v>
      </c>
      <c r="BC45" s="563">
        <v>8</v>
      </c>
      <c r="BD45" s="563">
        <v>2</v>
      </c>
      <c r="BE45" s="563">
        <v>6</v>
      </c>
      <c r="BF45" s="563">
        <v>5</v>
      </c>
      <c r="BG45" s="563" t="s">
        <v>896</v>
      </c>
      <c r="BH45" s="563" t="s">
        <v>896</v>
      </c>
      <c r="BI45" s="536"/>
      <c r="BJ45" s="559">
        <v>0</v>
      </c>
      <c r="BK45" s="559">
        <v>0</v>
      </c>
      <c r="BL45" s="536"/>
      <c r="BM45" s="559">
        <v>2</v>
      </c>
      <c r="BN45" s="559">
        <v>0</v>
      </c>
      <c r="BO45" s="559">
        <v>0</v>
      </c>
      <c r="BP45" s="559">
        <v>0</v>
      </c>
      <c r="BQ45" s="559">
        <v>0</v>
      </c>
      <c r="BR45" s="559">
        <v>0</v>
      </c>
      <c r="BS45" s="543">
        <v>23</v>
      </c>
      <c r="BT45" s="536"/>
      <c r="BU45" s="559">
        <v>0</v>
      </c>
      <c r="BV45" s="559">
        <v>0</v>
      </c>
      <c r="BW45" s="559">
        <v>0</v>
      </c>
      <c r="BX45" s="559">
        <v>0</v>
      </c>
      <c r="BY45" s="559">
        <v>0</v>
      </c>
      <c r="BZ45" s="559">
        <v>0</v>
      </c>
      <c r="CA45" s="545">
        <v>0</v>
      </c>
      <c r="CB45" s="545">
        <v>0</v>
      </c>
      <c r="CC45" s="536"/>
      <c r="CD45" s="559">
        <v>0</v>
      </c>
      <c r="CE45" s="559">
        <v>1</v>
      </c>
      <c r="CK45" s="559" t="s">
        <v>896</v>
      </c>
      <c r="CL45" s="559" t="s">
        <v>896</v>
      </c>
      <c r="CM45" s="559" t="s">
        <v>896</v>
      </c>
      <c r="CN45" s="559" t="s">
        <v>896</v>
      </c>
      <c r="CO45" s="559" t="s">
        <v>896</v>
      </c>
      <c r="CP45" s="559" t="s">
        <v>896</v>
      </c>
      <c r="CQ45" s="558" t="s">
        <v>896</v>
      </c>
      <c r="CR45" s="544" t="s">
        <v>785</v>
      </c>
    </row>
    <row r="46" spans="1:96" s="559" customFormat="1" outlineLevel="1" x14ac:dyDescent="0.2">
      <c r="A46" s="559">
        <v>49296</v>
      </c>
      <c r="C46" s="560" t="s">
        <v>786</v>
      </c>
      <c r="F46" s="562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63"/>
      <c r="AK46" s="563"/>
      <c r="AL46" s="563"/>
      <c r="AM46" s="563"/>
      <c r="AN46" s="563"/>
      <c r="AO46" s="563"/>
      <c r="AP46" s="563"/>
      <c r="AQ46" s="563" t="s">
        <v>896</v>
      </c>
      <c r="AR46" s="563" t="s">
        <v>896</v>
      </c>
      <c r="AS46" s="563" t="s">
        <v>896</v>
      </c>
      <c r="AT46" s="563" t="s">
        <v>896</v>
      </c>
      <c r="AU46" s="563" t="s">
        <v>896</v>
      </c>
      <c r="AV46" s="563" t="s">
        <v>896</v>
      </c>
      <c r="AW46" s="563" t="s">
        <v>896</v>
      </c>
      <c r="AX46" s="563" t="s">
        <v>896</v>
      </c>
      <c r="AY46" s="563" t="s">
        <v>896</v>
      </c>
      <c r="AZ46" s="563" t="s">
        <v>896</v>
      </c>
      <c r="BA46" s="563" t="s">
        <v>896</v>
      </c>
      <c r="BB46" s="563" t="s">
        <v>896</v>
      </c>
      <c r="BC46" s="563" t="s">
        <v>896</v>
      </c>
      <c r="BD46" s="563" t="s">
        <v>896</v>
      </c>
      <c r="BE46" s="563" t="s">
        <v>896</v>
      </c>
      <c r="BF46" s="563" t="s">
        <v>896</v>
      </c>
      <c r="BG46" s="563" t="s">
        <v>896</v>
      </c>
      <c r="BH46" s="563">
        <v>2</v>
      </c>
      <c r="BI46" s="536"/>
      <c r="BJ46" s="559">
        <v>0</v>
      </c>
      <c r="BK46" s="559">
        <v>2</v>
      </c>
      <c r="BL46" s="536"/>
      <c r="BM46" s="559">
        <v>8</v>
      </c>
      <c r="BN46" s="559">
        <v>5</v>
      </c>
      <c r="BO46" s="559">
        <v>5</v>
      </c>
      <c r="BP46" s="559">
        <v>5</v>
      </c>
      <c r="BQ46" s="559">
        <v>5</v>
      </c>
      <c r="BR46" s="559">
        <v>5</v>
      </c>
      <c r="BS46" s="543">
        <v>35</v>
      </c>
      <c r="BT46" s="536"/>
      <c r="BU46" s="559">
        <v>5</v>
      </c>
      <c r="BV46" s="559">
        <v>5</v>
      </c>
      <c r="BW46" s="559">
        <v>5</v>
      </c>
      <c r="BX46" s="559">
        <v>5</v>
      </c>
      <c r="BY46" s="559">
        <v>5</v>
      </c>
      <c r="BZ46" s="559">
        <v>5</v>
      </c>
      <c r="CA46" s="545">
        <v>30</v>
      </c>
      <c r="CB46" s="545">
        <v>60</v>
      </c>
      <c r="CC46" s="536"/>
      <c r="CQ46" s="558"/>
      <c r="CR46" s="544" t="s">
        <v>499</v>
      </c>
    </row>
    <row r="47" spans="1:96" s="559" customFormat="1" outlineLevel="1" x14ac:dyDescent="0.2">
      <c r="A47" s="559">
        <v>49320</v>
      </c>
      <c r="C47" s="560" t="s">
        <v>787</v>
      </c>
      <c r="E47" s="559">
        <v>0</v>
      </c>
      <c r="F47" s="562">
        <v>0</v>
      </c>
      <c r="H47" s="559">
        <v>2</v>
      </c>
      <c r="I47" s="559">
        <v>1</v>
      </c>
      <c r="N47" s="559">
        <v>1</v>
      </c>
      <c r="Q47" s="559" t="s">
        <v>896</v>
      </c>
      <c r="R47" s="559" t="s">
        <v>896</v>
      </c>
      <c r="S47" s="559" t="s">
        <v>896</v>
      </c>
      <c r="T47" s="559" t="s">
        <v>896</v>
      </c>
      <c r="U47" s="559" t="s">
        <v>896</v>
      </c>
      <c r="V47" s="558" t="s">
        <v>896</v>
      </c>
      <c r="W47" s="558" t="s">
        <v>896</v>
      </c>
      <c r="X47" s="558" t="s">
        <v>896</v>
      </c>
      <c r="Y47" s="558" t="s">
        <v>896</v>
      </c>
      <c r="Z47" s="558" t="s">
        <v>896</v>
      </c>
      <c r="AA47" s="558" t="s">
        <v>896</v>
      </c>
      <c r="AB47" s="558" t="s">
        <v>896</v>
      </c>
      <c r="AC47" s="558" t="s">
        <v>896</v>
      </c>
      <c r="AD47" s="558" t="s">
        <v>896</v>
      </c>
      <c r="AE47" s="558" t="s">
        <v>896</v>
      </c>
      <c r="AF47" s="558" t="s">
        <v>896</v>
      </c>
      <c r="AG47" s="558" t="s">
        <v>896</v>
      </c>
      <c r="AH47" s="558" t="s">
        <v>896</v>
      </c>
      <c r="AI47" s="558" t="s">
        <v>896</v>
      </c>
      <c r="AJ47" s="563" t="s">
        <v>896</v>
      </c>
      <c r="AK47" s="563" t="s">
        <v>896</v>
      </c>
      <c r="AL47" s="563" t="s">
        <v>896</v>
      </c>
      <c r="AM47" s="563" t="s">
        <v>896</v>
      </c>
      <c r="AN47" s="563" t="s">
        <v>896</v>
      </c>
      <c r="AO47" s="563" t="s">
        <v>896</v>
      </c>
      <c r="AP47" s="563" t="s">
        <v>896</v>
      </c>
      <c r="AQ47" s="563" t="s">
        <v>896</v>
      </c>
      <c r="AR47" s="563" t="s">
        <v>896</v>
      </c>
      <c r="AS47" s="563" t="s">
        <v>896</v>
      </c>
      <c r="AT47" s="563" t="s">
        <v>896</v>
      </c>
      <c r="AU47" s="563" t="s">
        <v>896</v>
      </c>
      <c r="AV47" s="563" t="s">
        <v>896</v>
      </c>
      <c r="AW47" s="563" t="s">
        <v>896</v>
      </c>
      <c r="AX47" s="563" t="s">
        <v>896</v>
      </c>
      <c r="AY47" s="563" t="s">
        <v>896</v>
      </c>
      <c r="AZ47" s="563" t="s">
        <v>896</v>
      </c>
      <c r="BA47" s="563" t="s">
        <v>896</v>
      </c>
      <c r="BB47" s="563" t="s">
        <v>896</v>
      </c>
      <c r="BC47" s="563" t="s">
        <v>896</v>
      </c>
      <c r="BD47" s="563" t="s">
        <v>896</v>
      </c>
      <c r="BE47" s="563" t="s">
        <v>896</v>
      </c>
      <c r="BF47" s="563" t="s">
        <v>896</v>
      </c>
      <c r="BG47" s="563">
        <v>7</v>
      </c>
      <c r="BH47" s="563">
        <v>5</v>
      </c>
      <c r="BI47" s="536"/>
      <c r="BJ47" s="559">
        <v>5</v>
      </c>
      <c r="BK47" s="559">
        <v>0</v>
      </c>
      <c r="BL47" s="536"/>
      <c r="BM47" s="559">
        <v>7</v>
      </c>
      <c r="BN47" s="559">
        <v>5</v>
      </c>
      <c r="BO47" s="559">
        <v>5</v>
      </c>
      <c r="BP47" s="559">
        <v>5</v>
      </c>
      <c r="BQ47" s="559">
        <v>5</v>
      </c>
      <c r="BR47" s="559">
        <v>5</v>
      </c>
      <c r="BS47" s="543">
        <v>44</v>
      </c>
      <c r="BT47" s="536"/>
      <c r="BU47" s="559">
        <v>5</v>
      </c>
      <c r="BV47" s="559">
        <v>5</v>
      </c>
      <c r="BW47" s="559">
        <v>5</v>
      </c>
      <c r="BX47" s="559">
        <v>5</v>
      </c>
      <c r="BY47" s="559">
        <v>5</v>
      </c>
      <c r="BZ47" s="559">
        <v>5</v>
      </c>
      <c r="CA47" s="545">
        <v>30</v>
      </c>
      <c r="CB47" s="545">
        <v>60</v>
      </c>
      <c r="CC47" s="536"/>
      <c r="CD47" s="559">
        <v>0</v>
      </c>
      <c r="CE47" s="559">
        <v>1</v>
      </c>
      <c r="CK47" s="559" t="s">
        <v>896</v>
      </c>
      <c r="CL47" s="559" t="s">
        <v>896</v>
      </c>
      <c r="CM47" s="559" t="s">
        <v>896</v>
      </c>
      <c r="CN47" s="559" t="s">
        <v>896</v>
      </c>
      <c r="CO47" s="559" t="s">
        <v>896</v>
      </c>
      <c r="CP47" s="559" t="s">
        <v>896</v>
      </c>
      <c r="CQ47" s="558" t="s">
        <v>896</v>
      </c>
      <c r="CR47" s="544" t="s">
        <v>788</v>
      </c>
    </row>
    <row r="48" spans="1:96" s="559" customFormat="1" outlineLevel="1" x14ac:dyDescent="0.2">
      <c r="A48" s="559">
        <v>38372</v>
      </c>
      <c r="C48" s="560" t="s">
        <v>789</v>
      </c>
      <c r="E48" s="559">
        <v>4</v>
      </c>
      <c r="F48" s="562">
        <v>4</v>
      </c>
      <c r="G48" s="559">
        <v>4</v>
      </c>
      <c r="H48" s="559">
        <v>3</v>
      </c>
      <c r="I48" s="559">
        <v>5</v>
      </c>
      <c r="J48" s="559">
        <v>1</v>
      </c>
      <c r="K48" s="559">
        <v>2</v>
      </c>
      <c r="L48" s="559">
        <v>3</v>
      </c>
      <c r="M48" s="559">
        <v>2</v>
      </c>
      <c r="N48" s="559">
        <v>1</v>
      </c>
      <c r="O48" s="559">
        <v>1</v>
      </c>
      <c r="P48" s="559">
        <v>2</v>
      </c>
      <c r="Q48" s="559">
        <v>2</v>
      </c>
      <c r="R48" s="559">
        <v>2</v>
      </c>
      <c r="S48" s="559">
        <v>2</v>
      </c>
      <c r="T48" s="559">
        <v>2</v>
      </c>
      <c r="U48" s="559">
        <v>2</v>
      </c>
      <c r="V48" s="558">
        <v>2</v>
      </c>
      <c r="W48" s="558" t="s">
        <v>896</v>
      </c>
      <c r="X48" s="558">
        <v>1</v>
      </c>
      <c r="Y48" s="558">
        <v>3</v>
      </c>
      <c r="Z48" s="558">
        <v>3</v>
      </c>
      <c r="AA48" s="558">
        <v>2</v>
      </c>
      <c r="AB48" s="558">
        <v>1</v>
      </c>
      <c r="AC48" s="558">
        <v>2</v>
      </c>
      <c r="AD48" s="558">
        <v>4</v>
      </c>
      <c r="AE48" s="558">
        <v>7</v>
      </c>
      <c r="AF48" s="558">
        <v>3</v>
      </c>
      <c r="AG48" s="558">
        <v>3</v>
      </c>
      <c r="AH48" s="558" t="s">
        <v>896</v>
      </c>
      <c r="AI48" s="558">
        <v>3</v>
      </c>
      <c r="AJ48" s="563" t="s">
        <v>896</v>
      </c>
      <c r="AK48" s="563">
        <v>1</v>
      </c>
      <c r="AL48" s="563" t="s">
        <v>896</v>
      </c>
      <c r="AM48" s="563" t="s">
        <v>896</v>
      </c>
      <c r="AN48" s="563">
        <v>1</v>
      </c>
      <c r="AO48" s="563">
        <v>1</v>
      </c>
      <c r="AP48" s="563">
        <v>2</v>
      </c>
      <c r="AQ48" s="563">
        <v>1</v>
      </c>
      <c r="AR48" s="563" t="s">
        <v>896</v>
      </c>
      <c r="AS48" s="563">
        <v>0</v>
      </c>
      <c r="AT48" s="563">
        <v>0</v>
      </c>
      <c r="AU48" s="563">
        <v>0</v>
      </c>
      <c r="AV48" s="563">
        <v>0</v>
      </c>
      <c r="AW48" s="563">
        <v>0</v>
      </c>
      <c r="AX48" s="563">
        <v>0</v>
      </c>
      <c r="AY48" s="563">
        <v>0</v>
      </c>
      <c r="AZ48" s="563">
        <v>0</v>
      </c>
      <c r="BA48" s="563" t="s">
        <v>896</v>
      </c>
      <c r="BB48" s="563" t="s">
        <v>896</v>
      </c>
      <c r="BC48" s="563" t="s">
        <v>896</v>
      </c>
      <c r="BD48" s="563" t="s">
        <v>896</v>
      </c>
      <c r="BE48" s="563" t="s">
        <v>896</v>
      </c>
      <c r="BF48" s="563" t="s">
        <v>896</v>
      </c>
      <c r="BG48" s="563" t="s">
        <v>896</v>
      </c>
      <c r="BH48" s="563" t="s">
        <v>896</v>
      </c>
      <c r="BI48" s="536"/>
      <c r="BJ48" s="559">
        <v>0</v>
      </c>
      <c r="BK48" s="559">
        <v>0</v>
      </c>
      <c r="BL48" s="536"/>
      <c r="BM48" s="559">
        <v>0</v>
      </c>
      <c r="BN48" s="559">
        <v>0</v>
      </c>
      <c r="BO48" s="559">
        <v>0</v>
      </c>
      <c r="BP48" s="559">
        <v>0</v>
      </c>
      <c r="BQ48" s="559">
        <v>0</v>
      </c>
      <c r="BR48" s="559">
        <v>0</v>
      </c>
      <c r="BS48" s="543">
        <v>0</v>
      </c>
      <c r="BT48" s="536"/>
      <c r="BU48" s="559">
        <v>0</v>
      </c>
      <c r="BV48" s="559">
        <v>0</v>
      </c>
      <c r="BW48" s="559">
        <v>0</v>
      </c>
      <c r="BX48" s="559">
        <v>0</v>
      </c>
      <c r="BY48" s="559">
        <v>0</v>
      </c>
      <c r="BZ48" s="559">
        <v>0</v>
      </c>
      <c r="CA48" s="545">
        <v>0</v>
      </c>
      <c r="CB48" s="545">
        <v>0</v>
      </c>
      <c r="CC48" s="536"/>
      <c r="CD48" s="559">
        <v>2</v>
      </c>
      <c r="CE48" s="559">
        <v>3</v>
      </c>
      <c r="CG48" s="559">
        <v>2</v>
      </c>
      <c r="CH48" s="559">
        <v>1</v>
      </c>
      <c r="CI48" s="559">
        <v>1</v>
      </c>
      <c r="CJ48" s="559">
        <v>1</v>
      </c>
      <c r="CK48" s="559">
        <v>1</v>
      </c>
      <c r="CL48" s="559">
        <v>1</v>
      </c>
      <c r="CM48" s="559">
        <v>1</v>
      </c>
      <c r="CN48" s="559">
        <v>2</v>
      </c>
      <c r="CO48" s="559">
        <v>1</v>
      </c>
      <c r="CP48" s="559">
        <v>1</v>
      </c>
      <c r="CQ48" s="558">
        <v>2</v>
      </c>
      <c r="CR48" s="544" t="s">
        <v>499</v>
      </c>
    </row>
    <row r="49" spans="1:96" s="559" customFormat="1" outlineLevel="1" x14ac:dyDescent="0.2">
      <c r="A49" s="559">
        <v>2667</v>
      </c>
      <c r="C49" s="560" t="s">
        <v>790</v>
      </c>
      <c r="F49" s="562"/>
      <c r="Q49" s="559" t="s">
        <v>896</v>
      </c>
      <c r="R49" s="559" t="s">
        <v>896</v>
      </c>
      <c r="S49" s="559" t="s">
        <v>896</v>
      </c>
      <c r="T49" s="559" t="s">
        <v>896</v>
      </c>
      <c r="U49" s="559" t="s">
        <v>896</v>
      </c>
      <c r="V49" s="559" t="s">
        <v>896</v>
      </c>
      <c r="W49" s="559" t="s">
        <v>896</v>
      </c>
      <c r="X49" s="559" t="s">
        <v>896</v>
      </c>
      <c r="Y49" s="559" t="s">
        <v>896</v>
      </c>
      <c r="Z49" s="559" t="s">
        <v>896</v>
      </c>
      <c r="AA49" s="559" t="s">
        <v>896</v>
      </c>
      <c r="AB49" s="559" t="s">
        <v>896</v>
      </c>
      <c r="AC49" s="559" t="s">
        <v>896</v>
      </c>
      <c r="AD49" s="559" t="s">
        <v>896</v>
      </c>
      <c r="AE49" s="559" t="s">
        <v>896</v>
      </c>
      <c r="AF49" s="559" t="s">
        <v>896</v>
      </c>
      <c r="AG49" s="559" t="s">
        <v>896</v>
      </c>
      <c r="AH49" s="559" t="s">
        <v>896</v>
      </c>
      <c r="AI49" s="559" t="s">
        <v>896</v>
      </c>
      <c r="AJ49" s="561" t="s">
        <v>896</v>
      </c>
      <c r="AK49" s="561" t="s">
        <v>896</v>
      </c>
      <c r="AL49" s="561" t="s">
        <v>896</v>
      </c>
      <c r="AM49" s="561" t="s">
        <v>896</v>
      </c>
      <c r="AN49" s="561" t="s">
        <v>896</v>
      </c>
      <c r="AO49" s="561" t="s">
        <v>896</v>
      </c>
      <c r="AP49" s="561" t="s">
        <v>896</v>
      </c>
      <c r="AQ49" s="561" t="s">
        <v>896</v>
      </c>
      <c r="AR49" s="561" t="s">
        <v>896</v>
      </c>
      <c r="AS49" s="561" t="s">
        <v>896</v>
      </c>
      <c r="AT49" s="561">
        <v>2</v>
      </c>
      <c r="AU49" s="561">
        <v>1</v>
      </c>
      <c r="AV49" s="561">
        <v>2</v>
      </c>
      <c r="AW49" s="561">
        <v>1</v>
      </c>
      <c r="AX49" s="561">
        <v>3</v>
      </c>
      <c r="AY49" s="561">
        <v>4</v>
      </c>
      <c r="AZ49" s="561">
        <v>6</v>
      </c>
      <c r="BA49" s="561">
        <v>3</v>
      </c>
      <c r="BB49" s="561" t="s">
        <v>896</v>
      </c>
      <c r="BC49" s="561">
        <v>4</v>
      </c>
      <c r="BD49" s="561">
        <v>6</v>
      </c>
      <c r="BE49" s="561">
        <v>4</v>
      </c>
      <c r="BF49" s="561">
        <v>2</v>
      </c>
      <c r="BG49" s="561">
        <v>9</v>
      </c>
      <c r="BH49" s="561" t="s">
        <v>896</v>
      </c>
      <c r="BI49" s="536"/>
      <c r="BJ49" s="559">
        <v>3</v>
      </c>
      <c r="BK49" s="559">
        <v>-3</v>
      </c>
      <c r="BL49" s="536"/>
      <c r="BM49" s="559">
        <v>3</v>
      </c>
      <c r="BN49" s="559">
        <v>3</v>
      </c>
      <c r="BO49" s="559">
        <v>3</v>
      </c>
      <c r="BP49" s="559">
        <v>3</v>
      </c>
      <c r="BQ49" s="559">
        <v>3</v>
      </c>
      <c r="BR49" s="559">
        <v>3</v>
      </c>
      <c r="BS49" s="543">
        <v>43</v>
      </c>
      <c r="BT49" s="536"/>
      <c r="BU49" s="559">
        <v>0</v>
      </c>
      <c r="BV49" s="559">
        <v>0</v>
      </c>
      <c r="BW49" s="559">
        <v>0</v>
      </c>
      <c r="BX49" s="559">
        <v>0</v>
      </c>
      <c r="BY49" s="559">
        <v>0</v>
      </c>
      <c r="BZ49" s="559">
        <v>0</v>
      </c>
      <c r="CA49" s="545">
        <v>0</v>
      </c>
      <c r="CB49" s="545">
        <v>0</v>
      </c>
      <c r="CC49" s="536"/>
      <c r="CK49" s="559" t="s">
        <v>896</v>
      </c>
      <c r="CL49" s="559" t="s">
        <v>896</v>
      </c>
      <c r="CM49" s="559" t="s">
        <v>896</v>
      </c>
      <c r="CN49" s="559" t="s">
        <v>896</v>
      </c>
      <c r="CO49" s="559" t="s">
        <v>896</v>
      </c>
      <c r="CP49" s="559" t="s">
        <v>896</v>
      </c>
      <c r="CQ49" s="559" t="s">
        <v>896</v>
      </c>
      <c r="CR49" s="544" t="s">
        <v>791</v>
      </c>
    </row>
    <row r="50" spans="1:96" s="559" customFormat="1" outlineLevel="1" x14ac:dyDescent="0.2">
      <c r="A50" s="559" t="s">
        <v>897</v>
      </c>
      <c r="C50" s="560" t="s">
        <v>792</v>
      </c>
      <c r="E50" s="559">
        <v>0</v>
      </c>
      <c r="F50" s="562"/>
      <c r="Q50" s="559" t="s">
        <v>896</v>
      </c>
      <c r="R50" s="559" t="s">
        <v>896</v>
      </c>
      <c r="S50" s="559" t="s">
        <v>896</v>
      </c>
      <c r="T50" s="559" t="s">
        <v>896</v>
      </c>
      <c r="U50" s="559" t="s">
        <v>896</v>
      </c>
      <c r="V50" s="559" t="s">
        <v>896</v>
      </c>
      <c r="W50" s="559" t="s">
        <v>896</v>
      </c>
      <c r="X50" s="559" t="s">
        <v>896</v>
      </c>
      <c r="Y50" s="559" t="s">
        <v>896</v>
      </c>
      <c r="Z50" s="559" t="s">
        <v>896</v>
      </c>
      <c r="AA50" s="559" t="s">
        <v>896</v>
      </c>
      <c r="AB50" s="559" t="s">
        <v>896</v>
      </c>
      <c r="AC50" s="559" t="s">
        <v>896</v>
      </c>
      <c r="AD50" s="559" t="s">
        <v>896</v>
      </c>
      <c r="AE50" s="559" t="s">
        <v>896</v>
      </c>
      <c r="AF50" s="559" t="s">
        <v>896</v>
      </c>
      <c r="AG50" s="559" t="s">
        <v>896</v>
      </c>
      <c r="AH50" s="559" t="s">
        <v>896</v>
      </c>
      <c r="AI50" s="559" t="s">
        <v>896</v>
      </c>
      <c r="AJ50" s="561" t="s">
        <v>896</v>
      </c>
      <c r="AK50" s="561" t="s">
        <v>896</v>
      </c>
      <c r="AL50" s="561" t="s">
        <v>896</v>
      </c>
      <c r="AM50" s="561" t="s">
        <v>896</v>
      </c>
      <c r="AN50" s="561" t="s">
        <v>896</v>
      </c>
      <c r="AO50" s="561" t="s">
        <v>896</v>
      </c>
      <c r="AP50" s="561" t="s">
        <v>896</v>
      </c>
      <c r="AQ50" s="561" t="s">
        <v>896</v>
      </c>
      <c r="AR50" s="561" t="s">
        <v>896</v>
      </c>
      <c r="AS50" s="561" t="s">
        <v>896</v>
      </c>
      <c r="AT50" s="561" t="s">
        <v>896</v>
      </c>
      <c r="AU50" s="561" t="s">
        <v>896</v>
      </c>
      <c r="AV50" s="561" t="s">
        <v>896</v>
      </c>
      <c r="AW50" s="561" t="s">
        <v>896</v>
      </c>
      <c r="AX50" s="561" t="s">
        <v>896</v>
      </c>
      <c r="AY50" s="561" t="s">
        <v>896</v>
      </c>
      <c r="AZ50" s="561" t="s">
        <v>896</v>
      </c>
      <c r="BA50" s="561" t="s">
        <v>896</v>
      </c>
      <c r="BB50" s="561" t="s">
        <v>896</v>
      </c>
      <c r="BC50" s="561" t="s">
        <v>896</v>
      </c>
      <c r="BD50" s="561" t="s">
        <v>896</v>
      </c>
      <c r="BE50" s="561" t="s">
        <v>896</v>
      </c>
      <c r="BF50" s="561" t="s">
        <v>896</v>
      </c>
      <c r="BG50" s="561" t="s">
        <v>896</v>
      </c>
      <c r="BH50" s="561" t="s">
        <v>896</v>
      </c>
      <c r="BI50" s="536"/>
      <c r="BJ50" s="559">
        <v>0</v>
      </c>
      <c r="BK50" s="559">
        <v>0</v>
      </c>
      <c r="BL50" s="536"/>
      <c r="BM50" s="559">
        <v>0</v>
      </c>
      <c r="BN50" s="559">
        <v>0</v>
      </c>
      <c r="BO50" s="559">
        <v>0</v>
      </c>
      <c r="BP50" s="559">
        <v>0</v>
      </c>
      <c r="BQ50" s="559">
        <v>0</v>
      </c>
      <c r="BR50" s="559">
        <v>0</v>
      </c>
      <c r="BS50" s="543">
        <v>0</v>
      </c>
      <c r="BT50" s="536"/>
      <c r="BU50" s="559">
        <v>0</v>
      </c>
      <c r="BV50" s="559">
        <v>0</v>
      </c>
      <c r="BW50" s="559">
        <v>0</v>
      </c>
      <c r="BX50" s="559">
        <v>0</v>
      </c>
      <c r="BY50" s="559">
        <v>0</v>
      </c>
      <c r="BZ50" s="559">
        <v>0</v>
      </c>
      <c r="CA50" s="545">
        <v>0</v>
      </c>
      <c r="CB50" s="545">
        <v>0</v>
      </c>
      <c r="CC50" s="536"/>
      <c r="CK50" s="559" t="s">
        <v>896</v>
      </c>
      <c r="CL50" s="559" t="s">
        <v>896</v>
      </c>
      <c r="CM50" s="559" t="s">
        <v>896</v>
      </c>
      <c r="CN50" s="559" t="s">
        <v>896</v>
      </c>
      <c r="CO50" s="559" t="s">
        <v>896</v>
      </c>
      <c r="CP50" s="559" t="s">
        <v>896</v>
      </c>
      <c r="CQ50" s="559" t="s">
        <v>896</v>
      </c>
      <c r="CR50" s="544" t="s">
        <v>499</v>
      </c>
    </row>
    <row r="51" spans="1:96" s="559" customFormat="1" ht="15.75" thickBot="1" x14ac:dyDescent="0.25">
      <c r="A51" s="559" t="s">
        <v>896</v>
      </c>
      <c r="C51" s="560"/>
      <c r="F51" s="562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36"/>
      <c r="BK51" s="559" t="s">
        <v>896</v>
      </c>
      <c r="BL51" s="536"/>
      <c r="BS51" s="543"/>
      <c r="BT51" s="536"/>
      <c r="CA51" s="562"/>
      <c r="CB51" s="562"/>
      <c r="CC51" s="536"/>
      <c r="CK51" s="559" t="s">
        <v>896</v>
      </c>
      <c r="CL51" s="559" t="s">
        <v>896</v>
      </c>
      <c r="CM51" s="559" t="s">
        <v>896</v>
      </c>
      <c r="CN51" s="559" t="s">
        <v>896</v>
      </c>
      <c r="CO51" s="559" t="s">
        <v>896</v>
      </c>
      <c r="CP51" s="559" t="s">
        <v>896</v>
      </c>
      <c r="CQ51" s="559" t="s">
        <v>896</v>
      </c>
      <c r="CR51" s="560"/>
    </row>
    <row r="52" spans="1:96" s="597" customFormat="1" ht="15.75" thickBot="1" x14ac:dyDescent="0.25">
      <c r="A52" s="596" t="s">
        <v>776</v>
      </c>
      <c r="C52" s="598" t="s">
        <v>50</v>
      </c>
      <c r="E52" s="597">
        <v>0</v>
      </c>
      <c r="F52" s="599">
        <v>2</v>
      </c>
      <c r="G52" s="599">
        <v>3</v>
      </c>
      <c r="H52" s="599">
        <v>1</v>
      </c>
      <c r="I52" s="599">
        <v>1</v>
      </c>
      <c r="J52" s="599">
        <v>1</v>
      </c>
      <c r="K52" s="599">
        <v>3</v>
      </c>
      <c r="L52" s="599">
        <v>1</v>
      </c>
      <c r="M52" s="599">
        <v>2</v>
      </c>
      <c r="N52" s="599">
        <v>1</v>
      </c>
      <c r="O52" s="599">
        <v>3</v>
      </c>
      <c r="P52" s="599">
        <v>7</v>
      </c>
      <c r="Q52" s="599">
        <v>4</v>
      </c>
      <c r="R52" s="599">
        <v>1</v>
      </c>
      <c r="S52" s="599">
        <v>3</v>
      </c>
      <c r="T52" s="599">
        <v>7</v>
      </c>
      <c r="U52" s="599">
        <v>8</v>
      </c>
      <c r="V52" s="599">
        <v>5</v>
      </c>
      <c r="W52" s="599">
        <v>3</v>
      </c>
      <c r="X52" s="599">
        <v>5</v>
      </c>
      <c r="Y52" s="599">
        <v>4</v>
      </c>
      <c r="Z52" s="599">
        <v>4</v>
      </c>
      <c r="AA52" s="599">
        <v>4</v>
      </c>
      <c r="AB52" s="599">
        <v>6</v>
      </c>
      <c r="AC52" s="599">
        <v>10</v>
      </c>
      <c r="AD52" s="599">
        <v>12</v>
      </c>
      <c r="AE52" s="599">
        <v>6</v>
      </c>
      <c r="AF52" s="599">
        <v>9</v>
      </c>
      <c r="AG52" s="599">
        <v>7</v>
      </c>
      <c r="AH52" s="599">
        <v>7</v>
      </c>
      <c r="AI52" s="599">
        <v>9</v>
      </c>
      <c r="AJ52" s="599">
        <v>9</v>
      </c>
      <c r="AK52" s="599">
        <v>8</v>
      </c>
      <c r="AL52" s="599">
        <v>8</v>
      </c>
      <c r="AM52" s="599">
        <v>26</v>
      </c>
      <c r="AN52" s="599">
        <v>12</v>
      </c>
      <c r="AO52" s="599">
        <v>22</v>
      </c>
      <c r="AP52" s="599">
        <v>16</v>
      </c>
      <c r="AQ52" s="599">
        <v>11</v>
      </c>
      <c r="AR52" s="599">
        <v>15</v>
      </c>
      <c r="AS52" s="599">
        <v>14</v>
      </c>
      <c r="AT52" s="599">
        <v>23</v>
      </c>
      <c r="AU52" s="599">
        <v>19</v>
      </c>
      <c r="AV52" s="599">
        <v>22</v>
      </c>
      <c r="AW52" s="599">
        <v>24</v>
      </c>
      <c r="AX52" s="599">
        <v>19</v>
      </c>
      <c r="AY52" s="599">
        <v>27</v>
      </c>
      <c r="AZ52" s="599">
        <v>17</v>
      </c>
      <c r="BA52" s="599">
        <v>25</v>
      </c>
      <c r="BB52" s="599">
        <v>18</v>
      </c>
      <c r="BC52" s="599">
        <v>18</v>
      </c>
      <c r="BD52" s="599">
        <v>20</v>
      </c>
      <c r="BE52" s="599">
        <v>21</v>
      </c>
      <c r="BF52" s="599">
        <v>22</v>
      </c>
      <c r="BG52" s="599">
        <v>16</v>
      </c>
      <c r="BH52" s="599">
        <v>18</v>
      </c>
      <c r="BI52" s="542"/>
      <c r="BJ52" s="599">
        <v>17</v>
      </c>
      <c r="BK52" s="599">
        <v>1</v>
      </c>
      <c r="BL52" s="542"/>
      <c r="BM52" s="599">
        <v>19</v>
      </c>
      <c r="BN52" s="599">
        <v>21</v>
      </c>
      <c r="BO52" s="599">
        <v>21</v>
      </c>
      <c r="BP52" s="599">
        <v>21</v>
      </c>
      <c r="BQ52" s="599">
        <v>21</v>
      </c>
      <c r="BR52" s="599">
        <v>21</v>
      </c>
      <c r="BS52" s="599">
        <v>239</v>
      </c>
      <c r="BT52" s="542"/>
      <c r="BU52" s="599">
        <v>0</v>
      </c>
      <c r="BV52" s="599">
        <v>0</v>
      </c>
      <c r="BW52" s="599">
        <v>0</v>
      </c>
      <c r="BX52" s="599">
        <v>0</v>
      </c>
      <c r="BY52" s="599">
        <v>0</v>
      </c>
      <c r="BZ52" s="599">
        <v>0</v>
      </c>
      <c r="CA52" s="599">
        <v>0</v>
      </c>
      <c r="CB52" s="599">
        <v>0</v>
      </c>
      <c r="CC52" s="542"/>
      <c r="CK52" s="597" t="s">
        <v>896</v>
      </c>
      <c r="CL52" s="597" t="s">
        <v>896</v>
      </c>
      <c r="CM52" s="597" t="s">
        <v>896</v>
      </c>
      <c r="CN52" s="597" t="s">
        <v>896</v>
      </c>
      <c r="CO52" s="597" t="s">
        <v>896</v>
      </c>
      <c r="CP52" s="597" t="s">
        <v>896</v>
      </c>
      <c r="CQ52" s="597" t="s">
        <v>896</v>
      </c>
      <c r="CR52" s="598"/>
    </row>
    <row r="53" spans="1:96" s="559" customFormat="1" outlineLevel="1" x14ac:dyDescent="0.2">
      <c r="A53" s="559">
        <v>39420</v>
      </c>
      <c r="C53" s="560" t="s">
        <v>793</v>
      </c>
      <c r="E53" s="559">
        <v>0</v>
      </c>
      <c r="F53" s="562"/>
      <c r="Q53" s="559" t="s">
        <v>896</v>
      </c>
      <c r="R53" s="559" t="s">
        <v>896</v>
      </c>
      <c r="S53" s="559">
        <v>2</v>
      </c>
      <c r="T53" s="559">
        <v>2</v>
      </c>
      <c r="U53" s="559">
        <v>2</v>
      </c>
      <c r="V53" s="558">
        <v>1</v>
      </c>
      <c r="W53" s="558" t="s">
        <v>896</v>
      </c>
      <c r="X53" s="558">
        <v>1</v>
      </c>
      <c r="Y53" s="558">
        <v>1</v>
      </c>
      <c r="Z53" s="558" t="s">
        <v>896</v>
      </c>
      <c r="AA53" s="558" t="s">
        <v>896</v>
      </c>
      <c r="AB53" s="558" t="s">
        <v>896</v>
      </c>
      <c r="AC53" s="558" t="s">
        <v>896</v>
      </c>
      <c r="AD53" s="558">
        <v>5</v>
      </c>
      <c r="AE53" s="558">
        <v>1</v>
      </c>
      <c r="AF53" s="558">
        <v>1</v>
      </c>
      <c r="AG53" s="558">
        <v>3</v>
      </c>
      <c r="AH53" s="558" t="s">
        <v>896</v>
      </c>
      <c r="AI53" s="558" t="s">
        <v>896</v>
      </c>
      <c r="AJ53" s="558">
        <v>4</v>
      </c>
      <c r="AK53" s="558">
        <v>3</v>
      </c>
      <c r="AL53" s="558">
        <v>3</v>
      </c>
      <c r="AM53" s="558">
        <v>13</v>
      </c>
      <c r="AN53" s="558">
        <v>5</v>
      </c>
      <c r="AO53" s="558">
        <v>10</v>
      </c>
      <c r="AP53" s="558">
        <v>10</v>
      </c>
      <c r="AQ53" s="558">
        <v>6</v>
      </c>
      <c r="AR53" s="558">
        <v>5</v>
      </c>
      <c r="AS53" s="558">
        <v>8</v>
      </c>
      <c r="AT53" s="558">
        <v>16</v>
      </c>
      <c r="AU53" s="558">
        <v>15</v>
      </c>
      <c r="AV53" s="558">
        <v>13</v>
      </c>
      <c r="AW53" s="558">
        <v>13</v>
      </c>
      <c r="AX53" s="558">
        <v>11</v>
      </c>
      <c r="AY53" s="558">
        <v>18</v>
      </c>
      <c r="AZ53" s="558">
        <v>8</v>
      </c>
      <c r="BA53" s="558">
        <v>16</v>
      </c>
      <c r="BB53" s="558">
        <v>11</v>
      </c>
      <c r="BC53" s="558">
        <v>11</v>
      </c>
      <c r="BD53" s="558">
        <v>15</v>
      </c>
      <c r="BE53" s="558">
        <v>11</v>
      </c>
      <c r="BF53" s="558">
        <v>17</v>
      </c>
      <c r="BG53" s="558">
        <v>8</v>
      </c>
      <c r="BH53" s="558">
        <v>12</v>
      </c>
      <c r="BI53" s="536"/>
      <c r="BJ53" s="559">
        <v>11</v>
      </c>
      <c r="BK53" s="559">
        <v>1</v>
      </c>
      <c r="BL53" s="536"/>
      <c r="BM53" s="559">
        <v>13</v>
      </c>
      <c r="BN53" s="559">
        <v>14</v>
      </c>
      <c r="BO53" s="559">
        <v>14</v>
      </c>
      <c r="BP53" s="559">
        <v>14</v>
      </c>
      <c r="BQ53" s="559">
        <v>14</v>
      </c>
      <c r="BR53" s="559">
        <v>14</v>
      </c>
      <c r="BS53" s="543">
        <v>157</v>
      </c>
      <c r="BT53" s="536"/>
      <c r="CA53" s="545">
        <v>0</v>
      </c>
      <c r="CB53" s="545">
        <v>0</v>
      </c>
      <c r="CC53" s="536"/>
      <c r="CK53" s="559" t="s">
        <v>896</v>
      </c>
      <c r="CL53" s="559" t="s">
        <v>896</v>
      </c>
      <c r="CM53" s="559" t="s">
        <v>896</v>
      </c>
      <c r="CN53" s="559">
        <v>1</v>
      </c>
      <c r="CO53" s="559">
        <v>1</v>
      </c>
      <c r="CP53" s="559">
        <v>1</v>
      </c>
      <c r="CQ53" s="558">
        <v>1</v>
      </c>
      <c r="CR53" s="544" t="s">
        <v>499</v>
      </c>
    </row>
    <row r="54" spans="1:96" s="566" customFormat="1" outlineLevel="1" x14ac:dyDescent="0.2">
      <c r="A54" s="566">
        <v>41996</v>
      </c>
      <c r="C54" s="600" t="s">
        <v>794</v>
      </c>
      <c r="F54" s="567">
        <v>2</v>
      </c>
      <c r="G54" s="566">
        <v>3</v>
      </c>
      <c r="H54" s="566">
        <v>1</v>
      </c>
      <c r="I54" s="566">
        <v>1</v>
      </c>
      <c r="J54" s="566">
        <v>1</v>
      </c>
      <c r="K54" s="566">
        <v>3</v>
      </c>
      <c r="L54" s="566">
        <v>1</v>
      </c>
      <c r="M54" s="566">
        <v>2</v>
      </c>
      <c r="N54" s="566">
        <v>1</v>
      </c>
      <c r="O54" s="566">
        <v>3</v>
      </c>
      <c r="P54" s="566">
        <v>7</v>
      </c>
      <c r="Q54" s="566">
        <v>4</v>
      </c>
      <c r="R54" s="566">
        <v>1</v>
      </c>
      <c r="S54" s="566">
        <v>1</v>
      </c>
      <c r="T54" s="566">
        <v>5</v>
      </c>
      <c r="U54" s="566">
        <v>6</v>
      </c>
      <c r="V54" s="566">
        <v>4</v>
      </c>
      <c r="W54" s="566">
        <v>3</v>
      </c>
      <c r="X54" s="566">
        <v>4</v>
      </c>
      <c r="Y54" s="566">
        <v>3</v>
      </c>
      <c r="Z54" s="566">
        <v>4</v>
      </c>
      <c r="AA54" s="566">
        <v>4</v>
      </c>
      <c r="AB54" s="566">
        <v>6</v>
      </c>
      <c r="AC54" s="566">
        <v>10</v>
      </c>
      <c r="AD54" s="566">
        <v>7</v>
      </c>
      <c r="AE54" s="566">
        <v>5</v>
      </c>
      <c r="AF54" s="566">
        <v>8</v>
      </c>
      <c r="AG54" s="566">
        <v>4</v>
      </c>
      <c r="AH54" s="566">
        <v>7</v>
      </c>
      <c r="AI54" s="566">
        <v>9</v>
      </c>
      <c r="AJ54" s="566">
        <v>5</v>
      </c>
      <c r="AK54" s="566">
        <v>5</v>
      </c>
      <c r="AL54" s="566">
        <v>5</v>
      </c>
      <c r="AM54" s="566">
        <v>13</v>
      </c>
      <c r="AN54" s="566">
        <v>7</v>
      </c>
      <c r="AO54" s="566">
        <v>12</v>
      </c>
      <c r="AP54" s="566">
        <v>6</v>
      </c>
      <c r="AQ54" s="566">
        <v>5</v>
      </c>
      <c r="AR54" s="566">
        <v>10</v>
      </c>
      <c r="AS54" s="566">
        <v>6</v>
      </c>
      <c r="AT54" s="566">
        <v>7</v>
      </c>
      <c r="AU54" s="566">
        <v>4</v>
      </c>
      <c r="AV54" s="566">
        <v>9</v>
      </c>
      <c r="AW54" s="566">
        <v>11</v>
      </c>
      <c r="AX54" s="566">
        <v>8</v>
      </c>
      <c r="AY54" s="566">
        <v>9</v>
      </c>
      <c r="AZ54" s="566">
        <v>9</v>
      </c>
      <c r="BA54" s="566">
        <v>9</v>
      </c>
      <c r="BB54" s="566">
        <v>7</v>
      </c>
      <c r="BC54" s="566">
        <v>7</v>
      </c>
      <c r="BD54" s="566">
        <v>5</v>
      </c>
      <c r="BE54" s="566">
        <v>10</v>
      </c>
      <c r="BF54" s="566">
        <v>5</v>
      </c>
      <c r="BG54" s="566">
        <v>8</v>
      </c>
      <c r="BH54" s="566">
        <v>6</v>
      </c>
      <c r="BI54" s="536"/>
      <c r="BJ54" s="566">
        <v>6</v>
      </c>
      <c r="BK54" s="566">
        <v>0</v>
      </c>
      <c r="BL54" s="536"/>
      <c r="BM54" s="566">
        <v>6</v>
      </c>
      <c r="BN54" s="566">
        <v>7</v>
      </c>
      <c r="BO54" s="566">
        <v>7</v>
      </c>
      <c r="BP54" s="566">
        <v>7</v>
      </c>
      <c r="BQ54" s="566">
        <v>7</v>
      </c>
      <c r="BR54" s="566">
        <v>7</v>
      </c>
      <c r="BS54" s="566">
        <v>82</v>
      </c>
      <c r="BT54" s="536"/>
      <c r="CA54" s="566">
        <v>0</v>
      </c>
      <c r="CB54" s="566">
        <v>0</v>
      </c>
      <c r="CC54" s="536"/>
      <c r="CD54" s="566">
        <v>3</v>
      </c>
      <c r="CE54" s="566">
        <v>1</v>
      </c>
      <c r="CG54" s="566">
        <v>2</v>
      </c>
      <c r="CH54" s="566">
        <v>1</v>
      </c>
      <c r="CI54" s="566">
        <v>1</v>
      </c>
      <c r="CJ54" s="566">
        <v>1</v>
      </c>
      <c r="CK54" s="566">
        <v>3</v>
      </c>
      <c r="CL54" s="566">
        <v>3</v>
      </c>
      <c r="CM54" s="566">
        <v>1</v>
      </c>
      <c r="CN54" s="566">
        <v>1</v>
      </c>
      <c r="CO54" s="566">
        <v>3</v>
      </c>
      <c r="CP54" s="566">
        <v>3</v>
      </c>
      <c r="CQ54" s="566">
        <v>2</v>
      </c>
      <c r="CR54" s="544" t="s">
        <v>499</v>
      </c>
    </row>
    <row r="55" spans="1:96" s="559" customFormat="1" ht="15.75" thickBot="1" x14ac:dyDescent="0.25">
      <c r="A55" s="559" t="s">
        <v>896</v>
      </c>
      <c r="C55" s="560"/>
      <c r="F55" s="562"/>
      <c r="AJ55" s="561"/>
      <c r="AK55" s="561"/>
      <c r="AL55" s="561"/>
      <c r="AM55" s="561"/>
      <c r="AN55" s="561"/>
      <c r="AO55" s="561"/>
      <c r="AP55" s="561"/>
      <c r="AQ55" s="561"/>
      <c r="AR55" s="561"/>
      <c r="AS55" s="561"/>
      <c r="AT55" s="561"/>
      <c r="AU55" s="561"/>
      <c r="AV55" s="561"/>
      <c r="AW55" s="561"/>
      <c r="AX55" s="561"/>
      <c r="AY55" s="561"/>
      <c r="AZ55" s="561"/>
      <c r="BA55" s="561"/>
      <c r="BB55" s="561"/>
      <c r="BC55" s="561"/>
      <c r="BD55" s="561"/>
      <c r="BE55" s="561"/>
      <c r="BF55" s="561"/>
      <c r="BG55" s="561"/>
      <c r="BH55" s="561"/>
      <c r="BI55" s="536"/>
      <c r="BK55" s="559" t="s">
        <v>896</v>
      </c>
      <c r="BL55" s="536"/>
      <c r="BS55" s="543"/>
      <c r="BT55" s="536"/>
      <c r="CA55" s="562"/>
      <c r="CB55" s="562"/>
      <c r="CC55" s="536"/>
      <c r="CK55" s="559" t="s">
        <v>896</v>
      </c>
      <c r="CL55" s="559" t="s">
        <v>896</v>
      </c>
      <c r="CM55" s="559" t="s">
        <v>896</v>
      </c>
      <c r="CN55" s="559" t="s">
        <v>896</v>
      </c>
      <c r="CO55" s="559" t="s">
        <v>896</v>
      </c>
      <c r="CP55" s="559" t="s">
        <v>896</v>
      </c>
      <c r="CQ55" s="559" t="s">
        <v>896</v>
      </c>
      <c r="CR55" s="560"/>
    </row>
    <row r="56" spans="1:96" s="602" customFormat="1" ht="15.75" thickBot="1" x14ac:dyDescent="0.25">
      <c r="A56" s="601" t="s">
        <v>776</v>
      </c>
      <c r="C56" s="603" t="s">
        <v>795</v>
      </c>
      <c r="E56" s="602">
        <v>42</v>
      </c>
      <c r="F56" s="604">
        <v>58</v>
      </c>
      <c r="G56" s="604">
        <v>78</v>
      </c>
      <c r="H56" s="604">
        <v>64</v>
      </c>
      <c r="I56" s="604">
        <v>59</v>
      </c>
      <c r="J56" s="604">
        <v>77</v>
      </c>
      <c r="K56" s="604">
        <v>73</v>
      </c>
      <c r="L56" s="604">
        <v>83</v>
      </c>
      <c r="M56" s="604">
        <v>68</v>
      </c>
      <c r="N56" s="604">
        <v>73</v>
      </c>
      <c r="O56" s="604">
        <v>74</v>
      </c>
      <c r="P56" s="604">
        <v>77</v>
      </c>
      <c r="Q56" s="604">
        <v>56</v>
      </c>
      <c r="R56" s="604">
        <v>71</v>
      </c>
      <c r="S56" s="604">
        <v>67</v>
      </c>
      <c r="T56" s="604">
        <v>70</v>
      </c>
      <c r="U56" s="604">
        <v>67</v>
      </c>
      <c r="V56" s="604">
        <v>64</v>
      </c>
      <c r="W56" s="604">
        <v>45</v>
      </c>
      <c r="X56" s="604">
        <v>57</v>
      </c>
      <c r="Y56" s="604">
        <v>76</v>
      </c>
      <c r="Z56" s="604">
        <v>69</v>
      </c>
      <c r="AA56" s="604">
        <v>73</v>
      </c>
      <c r="AB56" s="604">
        <v>59</v>
      </c>
      <c r="AC56" s="604">
        <v>60</v>
      </c>
      <c r="AD56" s="604">
        <v>90</v>
      </c>
      <c r="AE56" s="604">
        <v>61</v>
      </c>
      <c r="AF56" s="604">
        <v>97</v>
      </c>
      <c r="AG56" s="604">
        <v>105</v>
      </c>
      <c r="AH56" s="604">
        <v>80</v>
      </c>
      <c r="AI56" s="604">
        <v>100</v>
      </c>
      <c r="AJ56" s="604">
        <v>99</v>
      </c>
      <c r="AK56" s="604">
        <v>80</v>
      </c>
      <c r="AL56" s="604">
        <v>91</v>
      </c>
      <c r="AM56" s="604">
        <v>100</v>
      </c>
      <c r="AN56" s="604">
        <v>95</v>
      </c>
      <c r="AO56" s="604">
        <v>121</v>
      </c>
      <c r="AP56" s="604">
        <v>110</v>
      </c>
      <c r="AQ56" s="604">
        <v>93</v>
      </c>
      <c r="AR56" s="604">
        <v>116</v>
      </c>
      <c r="AS56" s="604">
        <v>103</v>
      </c>
      <c r="AT56" s="604">
        <v>118</v>
      </c>
      <c r="AU56" s="604">
        <v>101</v>
      </c>
      <c r="AV56" s="604">
        <v>85</v>
      </c>
      <c r="AW56" s="604">
        <v>106</v>
      </c>
      <c r="AX56" s="604">
        <v>98</v>
      </c>
      <c r="AY56" s="604">
        <v>117</v>
      </c>
      <c r="AZ56" s="604">
        <v>112</v>
      </c>
      <c r="BA56" s="604">
        <v>102</v>
      </c>
      <c r="BB56" s="604">
        <v>95</v>
      </c>
      <c r="BC56" s="604">
        <v>82</v>
      </c>
      <c r="BD56" s="604">
        <v>96</v>
      </c>
      <c r="BE56" s="604">
        <v>90</v>
      </c>
      <c r="BF56" s="604">
        <v>113</v>
      </c>
      <c r="BG56" s="604">
        <v>113</v>
      </c>
      <c r="BH56" s="604">
        <v>103</v>
      </c>
      <c r="BI56" s="542"/>
      <c r="BJ56" s="604">
        <v>106</v>
      </c>
      <c r="BK56" s="604">
        <v>-3</v>
      </c>
      <c r="BL56" s="542"/>
      <c r="BM56" s="604">
        <v>125</v>
      </c>
      <c r="BN56" s="604">
        <v>111</v>
      </c>
      <c r="BO56" s="604">
        <v>111</v>
      </c>
      <c r="BP56" s="604">
        <v>115</v>
      </c>
      <c r="BQ56" s="604">
        <v>115</v>
      </c>
      <c r="BR56" s="604">
        <v>115</v>
      </c>
      <c r="BS56" s="604">
        <v>1289</v>
      </c>
      <c r="BT56" s="542"/>
      <c r="BU56" s="604">
        <v>140.33333333333334</v>
      </c>
      <c r="BV56" s="604">
        <v>140.33333333333334</v>
      </c>
      <c r="BW56" s="604">
        <v>137.33333333333334</v>
      </c>
      <c r="BX56" s="604">
        <v>135.33333333333334</v>
      </c>
      <c r="BY56" s="604">
        <v>140.33333333333334</v>
      </c>
      <c r="BZ56" s="604">
        <v>136.33333333333334</v>
      </c>
      <c r="CA56" s="604">
        <v>830.00000000000011</v>
      </c>
      <c r="CB56" s="604">
        <v>1660</v>
      </c>
      <c r="CC56" s="542"/>
      <c r="CK56" s="602" t="s">
        <v>896</v>
      </c>
      <c r="CL56" s="602" t="s">
        <v>896</v>
      </c>
      <c r="CM56" s="602" t="s">
        <v>896</v>
      </c>
      <c r="CN56" s="602" t="s">
        <v>896</v>
      </c>
      <c r="CO56" s="602" t="s">
        <v>896</v>
      </c>
      <c r="CP56" s="602" t="s">
        <v>896</v>
      </c>
      <c r="CQ56" s="602" t="s">
        <v>896</v>
      </c>
      <c r="CR56" s="603"/>
    </row>
    <row r="57" spans="1:96" s="559" customFormat="1" outlineLevel="1" x14ac:dyDescent="0.2">
      <c r="A57" s="559">
        <v>37424</v>
      </c>
      <c r="C57" s="560" t="s">
        <v>796</v>
      </c>
      <c r="F57" s="562"/>
      <c r="Q57" s="559" t="s">
        <v>896</v>
      </c>
      <c r="R57" s="559" t="s">
        <v>896</v>
      </c>
      <c r="S57" s="559" t="s">
        <v>896</v>
      </c>
      <c r="T57" s="559">
        <v>1</v>
      </c>
      <c r="U57" s="559">
        <v>1</v>
      </c>
      <c r="V57" s="559" t="s">
        <v>896</v>
      </c>
      <c r="W57" s="559" t="s">
        <v>896</v>
      </c>
      <c r="X57" s="559" t="s">
        <v>896</v>
      </c>
      <c r="Y57" s="559" t="s">
        <v>896</v>
      </c>
      <c r="Z57" s="559" t="s">
        <v>896</v>
      </c>
      <c r="AA57" s="559" t="s">
        <v>896</v>
      </c>
      <c r="AB57" s="559" t="s">
        <v>896</v>
      </c>
      <c r="AC57" s="559" t="s">
        <v>896</v>
      </c>
      <c r="AD57" s="559" t="s">
        <v>896</v>
      </c>
      <c r="AE57" s="559" t="s">
        <v>896</v>
      </c>
      <c r="AF57" s="559" t="s">
        <v>896</v>
      </c>
      <c r="AG57" s="559" t="s">
        <v>896</v>
      </c>
      <c r="AH57" s="559" t="s">
        <v>896</v>
      </c>
      <c r="AI57" s="559">
        <v>1</v>
      </c>
      <c r="AJ57" s="559">
        <v>1</v>
      </c>
      <c r="AK57" s="559" t="s">
        <v>896</v>
      </c>
      <c r="AL57" s="559" t="s">
        <v>896</v>
      </c>
      <c r="AM57" s="559" t="s">
        <v>896</v>
      </c>
      <c r="AN57" s="559" t="s">
        <v>896</v>
      </c>
      <c r="AO57" s="559" t="s">
        <v>896</v>
      </c>
      <c r="AP57" s="559" t="s">
        <v>896</v>
      </c>
      <c r="AQ57" s="559" t="s">
        <v>896</v>
      </c>
      <c r="AR57" s="559" t="s">
        <v>896</v>
      </c>
      <c r="AS57" s="559" t="s">
        <v>896</v>
      </c>
      <c r="AT57" s="559" t="s">
        <v>896</v>
      </c>
      <c r="AU57" s="559">
        <v>2</v>
      </c>
      <c r="AV57" s="559" t="s">
        <v>896</v>
      </c>
      <c r="AW57" s="559" t="s">
        <v>896</v>
      </c>
      <c r="AX57" s="559" t="s">
        <v>896</v>
      </c>
      <c r="AY57" s="559">
        <v>2</v>
      </c>
      <c r="AZ57" s="559" t="s">
        <v>896</v>
      </c>
      <c r="BA57" s="563" t="s">
        <v>896</v>
      </c>
      <c r="BB57" s="563" t="s">
        <v>896</v>
      </c>
      <c r="BC57" s="563" t="s">
        <v>896</v>
      </c>
      <c r="BD57" s="563" t="s">
        <v>896</v>
      </c>
      <c r="BE57" s="563" t="s">
        <v>896</v>
      </c>
      <c r="BF57" s="563" t="s">
        <v>896</v>
      </c>
      <c r="BG57" s="563" t="s">
        <v>896</v>
      </c>
      <c r="BH57" s="563" t="s">
        <v>896</v>
      </c>
      <c r="BI57" s="536"/>
      <c r="BK57" s="559" t="s">
        <v>896</v>
      </c>
      <c r="BL57" s="536"/>
      <c r="BS57" s="543" t="s">
        <v>896</v>
      </c>
      <c r="BT57" s="536"/>
      <c r="CA57" s="545">
        <v>0</v>
      </c>
      <c r="CB57" s="545">
        <v>0</v>
      </c>
      <c r="CC57" s="536"/>
      <c r="CD57" s="559">
        <v>0</v>
      </c>
      <c r="CK57" s="559" t="s">
        <v>896</v>
      </c>
      <c r="CL57" s="559" t="s">
        <v>896</v>
      </c>
      <c r="CM57" s="559" t="s">
        <v>896</v>
      </c>
      <c r="CN57" s="559" t="s">
        <v>896</v>
      </c>
      <c r="CO57" s="559">
        <v>1</v>
      </c>
      <c r="CP57" s="559">
        <v>1</v>
      </c>
      <c r="CQ57" s="559" t="s">
        <v>896</v>
      </c>
      <c r="CR57" s="544">
        <v>371</v>
      </c>
    </row>
    <row r="58" spans="1:96" s="559" customFormat="1" outlineLevel="1" x14ac:dyDescent="0.2">
      <c r="A58" s="559">
        <v>135889</v>
      </c>
      <c r="C58" s="560" t="s">
        <v>797</v>
      </c>
      <c r="F58" s="562"/>
      <c r="AE58" s="559" t="s">
        <v>896</v>
      </c>
      <c r="AJ58" s="559" t="s">
        <v>896</v>
      </c>
      <c r="AK58" s="559" t="s">
        <v>896</v>
      </c>
      <c r="AL58" s="559" t="s">
        <v>896</v>
      </c>
      <c r="AM58" s="559" t="s">
        <v>896</v>
      </c>
      <c r="AN58" s="559" t="s">
        <v>896</v>
      </c>
      <c r="AO58" s="559" t="s">
        <v>896</v>
      </c>
      <c r="AP58" s="559" t="s">
        <v>896</v>
      </c>
      <c r="AQ58" s="559" t="s">
        <v>896</v>
      </c>
      <c r="AR58" s="559" t="s">
        <v>896</v>
      </c>
      <c r="AS58" s="559" t="s">
        <v>896</v>
      </c>
      <c r="AT58" s="559" t="s">
        <v>896</v>
      </c>
      <c r="AU58" s="559" t="s">
        <v>896</v>
      </c>
      <c r="AV58" s="559" t="s">
        <v>896</v>
      </c>
      <c r="AW58" s="559" t="s">
        <v>896</v>
      </c>
      <c r="AX58" s="559" t="s">
        <v>896</v>
      </c>
      <c r="AY58" s="559" t="s">
        <v>896</v>
      </c>
      <c r="AZ58" s="559" t="s">
        <v>896</v>
      </c>
      <c r="BA58" s="563">
        <v>1</v>
      </c>
      <c r="BB58" s="563" t="s">
        <v>896</v>
      </c>
      <c r="BC58" s="563" t="s">
        <v>896</v>
      </c>
      <c r="BD58" s="563" t="s">
        <v>896</v>
      </c>
      <c r="BE58" s="563" t="s">
        <v>896</v>
      </c>
      <c r="BF58" s="563" t="s">
        <v>896</v>
      </c>
      <c r="BG58" s="563">
        <v>4</v>
      </c>
      <c r="BH58" s="563">
        <v>4</v>
      </c>
      <c r="BI58" s="536"/>
      <c r="BJ58" s="559">
        <v>2</v>
      </c>
      <c r="BK58" s="559">
        <v>2</v>
      </c>
      <c r="BL58" s="536"/>
      <c r="BM58" s="559">
        <v>5</v>
      </c>
      <c r="BS58" s="543">
        <v>13</v>
      </c>
      <c r="BT58" s="536"/>
      <c r="CA58" s="545">
        <v>0</v>
      </c>
      <c r="CB58" s="545">
        <v>0</v>
      </c>
      <c r="CC58" s="536"/>
      <c r="CR58" s="605">
        <v>0.22349397590361444</v>
      </c>
    </row>
    <row r="59" spans="1:96" s="559" customFormat="1" outlineLevel="1" x14ac:dyDescent="0.2">
      <c r="A59" s="559">
        <v>43943</v>
      </c>
      <c r="C59" s="560" t="s">
        <v>798</v>
      </c>
      <c r="F59" s="562"/>
      <c r="BA59" s="563" t="s">
        <v>896</v>
      </c>
      <c r="BB59" s="563" t="s">
        <v>896</v>
      </c>
      <c r="BC59" s="563">
        <v>1</v>
      </c>
      <c r="BD59" s="563" t="s">
        <v>896</v>
      </c>
      <c r="BE59" s="563" t="s">
        <v>896</v>
      </c>
      <c r="BF59" s="563" t="s">
        <v>896</v>
      </c>
      <c r="BG59" s="563" t="s">
        <v>896</v>
      </c>
      <c r="BH59" s="563" t="s">
        <v>896</v>
      </c>
      <c r="BI59" s="536"/>
      <c r="BK59" s="559" t="s">
        <v>896</v>
      </c>
      <c r="BL59" s="536"/>
      <c r="BS59" s="543" t="s">
        <v>896</v>
      </c>
      <c r="BT59" s="536"/>
      <c r="BU59" s="559">
        <v>0</v>
      </c>
      <c r="BV59" s="559">
        <v>0</v>
      </c>
      <c r="BW59" s="559">
        <v>0</v>
      </c>
      <c r="BX59" s="559">
        <v>0</v>
      </c>
      <c r="BY59" s="559">
        <v>0</v>
      </c>
      <c r="BZ59" s="559">
        <v>0</v>
      </c>
      <c r="CA59" s="545">
        <v>0</v>
      </c>
      <c r="CB59" s="545">
        <v>0</v>
      </c>
      <c r="CC59" s="536"/>
      <c r="CR59" s="544" t="s">
        <v>499</v>
      </c>
    </row>
    <row r="60" spans="1:96" s="559" customFormat="1" outlineLevel="1" x14ac:dyDescent="0.2">
      <c r="A60" s="559">
        <v>35477</v>
      </c>
      <c r="C60" s="560" t="s">
        <v>799</v>
      </c>
      <c r="F60" s="562"/>
      <c r="O60" s="559">
        <v>3</v>
      </c>
      <c r="P60" s="559">
        <v>2</v>
      </c>
      <c r="Q60" s="559" t="s">
        <v>896</v>
      </c>
      <c r="R60" s="559" t="s">
        <v>896</v>
      </c>
      <c r="S60" s="559" t="s">
        <v>896</v>
      </c>
      <c r="T60" s="559" t="s">
        <v>896</v>
      </c>
      <c r="U60" s="559" t="s">
        <v>896</v>
      </c>
      <c r="V60" s="559" t="s">
        <v>896</v>
      </c>
      <c r="W60" s="559" t="s">
        <v>896</v>
      </c>
      <c r="X60" s="559" t="s">
        <v>896</v>
      </c>
      <c r="Y60" s="559" t="s">
        <v>896</v>
      </c>
      <c r="Z60" s="558">
        <v>6</v>
      </c>
      <c r="AA60" s="558">
        <v>3</v>
      </c>
      <c r="AB60" s="558">
        <v>2</v>
      </c>
      <c r="AC60" s="558">
        <v>4</v>
      </c>
      <c r="AD60" s="558">
        <v>4</v>
      </c>
      <c r="AE60" s="558">
        <v>3</v>
      </c>
      <c r="AF60" s="558">
        <v>3</v>
      </c>
      <c r="AG60" s="558">
        <v>1</v>
      </c>
      <c r="AH60" s="558">
        <v>4</v>
      </c>
      <c r="AI60" s="558">
        <v>4</v>
      </c>
      <c r="AJ60" s="558">
        <v>5</v>
      </c>
      <c r="AK60" s="558" t="s">
        <v>896</v>
      </c>
      <c r="AL60" s="558" t="s">
        <v>896</v>
      </c>
      <c r="AM60" s="558" t="s">
        <v>896</v>
      </c>
      <c r="AN60" s="558" t="s">
        <v>896</v>
      </c>
      <c r="AO60" s="558" t="s">
        <v>896</v>
      </c>
      <c r="AP60" s="558">
        <v>1</v>
      </c>
      <c r="AQ60" s="558" t="s">
        <v>896</v>
      </c>
      <c r="AR60" s="558" t="s">
        <v>896</v>
      </c>
      <c r="AS60" s="558">
        <v>2</v>
      </c>
      <c r="AT60" s="558">
        <v>4</v>
      </c>
      <c r="AU60" s="558">
        <v>3</v>
      </c>
      <c r="AV60" s="558">
        <v>3</v>
      </c>
      <c r="AW60" s="558">
        <v>4</v>
      </c>
      <c r="AX60" s="558">
        <v>4</v>
      </c>
      <c r="AY60" s="558">
        <v>4</v>
      </c>
      <c r="AZ60" s="558">
        <v>6</v>
      </c>
      <c r="BA60" s="563">
        <v>3</v>
      </c>
      <c r="BB60" s="563">
        <v>3</v>
      </c>
      <c r="BC60" s="563">
        <v>9</v>
      </c>
      <c r="BD60" s="563">
        <v>2</v>
      </c>
      <c r="BE60" s="563">
        <v>8</v>
      </c>
      <c r="BF60" s="563">
        <v>9</v>
      </c>
      <c r="BG60" s="563">
        <v>7</v>
      </c>
      <c r="BH60" s="563">
        <v>8</v>
      </c>
      <c r="BI60" s="536"/>
      <c r="BJ60" s="559">
        <v>6</v>
      </c>
      <c r="BK60" s="559">
        <v>2</v>
      </c>
      <c r="BL60" s="536"/>
      <c r="BM60" s="559">
        <v>5</v>
      </c>
      <c r="BN60" s="559">
        <v>6</v>
      </c>
      <c r="BO60" s="559">
        <v>6</v>
      </c>
      <c r="BP60" s="559">
        <v>6</v>
      </c>
      <c r="BQ60" s="559">
        <v>6</v>
      </c>
      <c r="BR60" s="559">
        <v>6</v>
      </c>
      <c r="BS60" s="543">
        <v>78</v>
      </c>
      <c r="BT60" s="536"/>
      <c r="BU60" s="559">
        <v>8</v>
      </c>
      <c r="BV60" s="559">
        <v>8</v>
      </c>
      <c r="BW60" s="559">
        <v>6</v>
      </c>
      <c r="BX60" s="559">
        <v>6</v>
      </c>
      <c r="BY60" s="559">
        <v>6</v>
      </c>
      <c r="BZ60" s="559">
        <v>6</v>
      </c>
      <c r="CA60" s="545">
        <v>40</v>
      </c>
      <c r="CB60" s="545">
        <v>80</v>
      </c>
      <c r="CC60" s="536"/>
      <c r="CJ60" s="559">
        <v>2</v>
      </c>
      <c r="CK60" s="559">
        <v>1</v>
      </c>
      <c r="CL60" s="559" t="s">
        <v>896</v>
      </c>
      <c r="CM60" s="559" t="s">
        <v>896</v>
      </c>
      <c r="CN60" s="559" t="s">
        <v>896</v>
      </c>
      <c r="CO60" s="559" t="s">
        <v>896</v>
      </c>
      <c r="CP60" s="559" t="s">
        <v>896</v>
      </c>
      <c r="CQ60" s="559" t="s">
        <v>896</v>
      </c>
      <c r="CR60" s="544" t="s">
        <v>800</v>
      </c>
    </row>
    <row r="61" spans="1:96" s="559" customFormat="1" outlineLevel="1" x14ac:dyDescent="0.2">
      <c r="A61" s="559">
        <v>44842</v>
      </c>
      <c r="C61" s="560" t="s">
        <v>801</v>
      </c>
      <c r="F61" s="562"/>
      <c r="Q61" s="559" t="s">
        <v>896</v>
      </c>
      <c r="R61" s="559" t="s">
        <v>896</v>
      </c>
      <c r="S61" s="559" t="s">
        <v>896</v>
      </c>
      <c r="T61" s="559" t="s">
        <v>896</v>
      </c>
      <c r="U61" s="559" t="s">
        <v>896</v>
      </c>
      <c r="V61" s="559" t="s">
        <v>896</v>
      </c>
      <c r="W61" s="559" t="s">
        <v>896</v>
      </c>
      <c r="X61" s="559" t="s">
        <v>896</v>
      </c>
      <c r="Y61" s="559" t="s">
        <v>896</v>
      </c>
      <c r="Z61" s="558" t="s">
        <v>896</v>
      </c>
      <c r="AA61" s="558" t="s">
        <v>896</v>
      </c>
      <c r="AB61" s="558" t="s">
        <v>896</v>
      </c>
      <c r="AC61" s="558"/>
      <c r="AD61" s="558">
        <v>1</v>
      </c>
      <c r="AE61" s="558" t="s">
        <v>896</v>
      </c>
      <c r="AF61" s="558">
        <v>2</v>
      </c>
      <c r="AG61" s="558">
        <v>20</v>
      </c>
      <c r="AH61" s="558">
        <v>9</v>
      </c>
      <c r="AI61" s="558">
        <v>21</v>
      </c>
      <c r="AJ61" s="558">
        <v>20</v>
      </c>
      <c r="AK61" s="558">
        <v>15</v>
      </c>
      <c r="AL61" s="558">
        <v>15</v>
      </c>
      <c r="AM61" s="558">
        <v>22</v>
      </c>
      <c r="AN61" s="558">
        <v>13</v>
      </c>
      <c r="AO61" s="558">
        <v>24</v>
      </c>
      <c r="AP61" s="558">
        <v>18</v>
      </c>
      <c r="AQ61" s="558">
        <v>19</v>
      </c>
      <c r="AR61" s="558">
        <v>20</v>
      </c>
      <c r="AS61" s="558">
        <v>21</v>
      </c>
      <c r="AT61" s="558">
        <v>16</v>
      </c>
      <c r="AU61" s="558">
        <v>12</v>
      </c>
      <c r="AV61" s="558">
        <v>8</v>
      </c>
      <c r="AW61" s="558">
        <v>4</v>
      </c>
      <c r="AX61" s="558">
        <v>7</v>
      </c>
      <c r="AY61" s="558">
        <v>10</v>
      </c>
      <c r="AZ61" s="558">
        <v>11</v>
      </c>
      <c r="BA61" s="563">
        <v>10</v>
      </c>
      <c r="BB61" s="563">
        <v>5</v>
      </c>
      <c r="BC61" s="563" t="s">
        <v>896</v>
      </c>
      <c r="BD61" s="563" t="s">
        <v>896</v>
      </c>
      <c r="BE61" s="563" t="s">
        <v>896</v>
      </c>
      <c r="BF61" s="563" t="s">
        <v>896</v>
      </c>
      <c r="BG61" s="563" t="s">
        <v>896</v>
      </c>
      <c r="BH61" s="563" t="s">
        <v>896</v>
      </c>
      <c r="BI61" s="536"/>
      <c r="BJ61" s="559">
        <v>0</v>
      </c>
      <c r="BK61" s="559">
        <v>0</v>
      </c>
      <c r="BL61" s="536"/>
      <c r="BM61" s="559">
        <v>0</v>
      </c>
      <c r="BN61" s="559">
        <v>0</v>
      </c>
      <c r="BO61" s="559">
        <v>0</v>
      </c>
      <c r="BP61" s="559">
        <v>0</v>
      </c>
      <c r="BQ61" s="559">
        <v>0</v>
      </c>
      <c r="BR61" s="559">
        <v>0</v>
      </c>
      <c r="BS61" s="543">
        <v>0</v>
      </c>
      <c r="BT61" s="536"/>
      <c r="BU61" s="559">
        <v>0</v>
      </c>
      <c r="BV61" s="559">
        <v>0</v>
      </c>
      <c r="BW61" s="559">
        <v>0</v>
      </c>
      <c r="BX61" s="559">
        <v>0</v>
      </c>
      <c r="BY61" s="559">
        <v>0</v>
      </c>
      <c r="BZ61" s="559">
        <v>0</v>
      </c>
      <c r="CA61" s="545">
        <v>0</v>
      </c>
      <c r="CB61" s="545">
        <v>0</v>
      </c>
      <c r="CC61" s="536"/>
      <c r="CJ61" s="559">
        <v>2</v>
      </c>
      <c r="CK61" s="559" t="s">
        <v>896</v>
      </c>
      <c r="CL61" s="559" t="s">
        <v>896</v>
      </c>
      <c r="CM61" s="559" t="s">
        <v>896</v>
      </c>
      <c r="CN61" s="559" t="s">
        <v>896</v>
      </c>
      <c r="CO61" s="559" t="s">
        <v>896</v>
      </c>
      <c r="CP61" s="559" t="s">
        <v>896</v>
      </c>
      <c r="CQ61" s="559" t="s">
        <v>896</v>
      </c>
      <c r="CR61" s="544" t="s">
        <v>499</v>
      </c>
    </row>
    <row r="62" spans="1:96" s="559" customFormat="1" outlineLevel="1" x14ac:dyDescent="0.2">
      <c r="A62" s="559">
        <v>49049</v>
      </c>
      <c r="C62" s="560" t="s">
        <v>802</v>
      </c>
      <c r="F62" s="562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/>
      <c r="AV62" s="558"/>
      <c r="AW62" s="558"/>
      <c r="AX62" s="558"/>
      <c r="AY62" s="558"/>
      <c r="AZ62" s="558"/>
      <c r="BA62" s="563"/>
      <c r="BB62" s="563"/>
      <c r="BC62" s="563" t="s">
        <v>896</v>
      </c>
      <c r="BD62" s="563" t="s">
        <v>896</v>
      </c>
      <c r="BE62" s="563" t="s">
        <v>896</v>
      </c>
      <c r="BF62" s="563">
        <v>7</v>
      </c>
      <c r="BG62" s="563" t="s">
        <v>896</v>
      </c>
      <c r="BH62" s="563" t="s">
        <v>896</v>
      </c>
      <c r="BI62" s="536"/>
      <c r="BJ62" s="559">
        <v>0</v>
      </c>
      <c r="BK62" s="559">
        <v>0</v>
      </c>
      <c r="BL62" s="536"/>
      <c r="BM62" s="559">
        <v>0</v>
      </c>
      <c r="BN62" s="559">
        <v>0</v>
      </c>
      <c r="BO62" s="559">
        <v>0</v>
      </c>
      <c r="BP62" s="559">
        <v>0</v>
      </c>
      <c r="BQ62" s="559">
        <v>0</v>
      </c>
      <c r="BR62" s="559">
        <v>0</v>
      </c>
      <c r="BS62" s="543">
        <v>7</v>
      </c>
      <c r="BT62" s="536"/>
      <c r="BU62" s="559">
        <v>0</v>
      </c>
      <c r="BV62" s="559">
        <v>0</v>
      </c>
      <c r="BW62" s="559">
        <v>0</v>
      </c>
      <c r="BX62" s="559">
        <v>0</v>
      </c>
      <c r="BY62" s="559">
        <v>0</v>
      </c>
      <c r="BZ62" s="559">
        <v>0</v>
      </c>
      <c r="CA62" s="545">
        <v>0</v>
      </c>
      <c r="CB62" s="545">
        <v>0</v>
      </c>
      <c r="CC62" s="536"/>
      <c r="CR62" s="544" t="s">
        <v>499</v>
      </c>
    </row>
    <row r="63" spans="1:96" s="559" customFormat="1" outlineLevel="1" x14ac:dyDescent="0.2">
      <c r="A63" s="559">
        <v>9886</v>
      </c>
      <c r="C63" s="560" t="s">
        <v>803</v>
      </c>
      <c r="F63" s="562"/>
      <c r="Z63" s="558"/>
      <c r="AA63" s="558"/>
      <c r="AB63" s="558"/>
      <c r="AC63" s="558"/>
      <c r="AD63" s="558"/>
      <c r="AE63" s="558" t="s">
        <v>896</v>
      </c>
      <c r="AF63" s="558" t="s">
        <v>896</v>
      </c>
      <c r="AG63" s="558" t="s">
        <v>896</v>
      </c>
      <c r="AH63" s="558" t="s">
        <v>896</v>
      </c>
      <c r="AI63" s="558" t="s">
        <v>896</v>
      </c>
      <c r="AJ63" s="558" t="s">
        <v>896</v>
      </c>
      <c r="AK63" s="558" t="s">
        <v>896</v>
      </c>
      <c r="AL63" s="558" t="s">
        <v>896</v>
      </c>
      <c r="AM63" s="558" t="s">
        <v>896</v>
      </c>
      <c r="AN63" s="558" t="s">
        <v>896</v>
      </c>
      <c r="AO63" s="558" t="s">
        <v>896</v>
      </c>
      <c r="AP63" s="558" t="s">
        <v>896</v>
      </c>
      <c r="AQ63" s="558" t="s">
        <v>896</v>
      </c>
      <c r="AR63" s="558" t="s">
        <v>896</v>
      </c>
      <c r="AS63" s="558" t="s">
        <v>896</v>
      </c>
      <c r="AT63" s="558" t="s">
        <v>896</v>
      </c>
      <c r="AU63" s="558" t="s">
        <v>896</v>
      </c>
      <c r="AV63" s="558" t="s">
        <v>896</v>
      </c>
      <c r="AW63" s="558" t="s">
        <v>896</v>
      </c>
      <c r="AX63" s="558" t="s">
        <v>896</v>
      </c>
      <c r="AY63" s="558" t="s">
        <v>896</v>
      </c>
      <c r="AZ63" s="558" t="s">
        <v>896</v>
      </c>
      <c r="BA63" s="563" t="s">
        <v>896</v>
      </c>
      <c r="BB63" s="563" t="s">
        <v>896</v>
      </c>
      <c r="BC63" s="563" t="s">
        <v>896</v>
      </c>
      <c r="BD63" s="563" t="s">
        <v>896</v>
      </c>
      <c r="BE63" s="563" t="s">
        <v>896</v>
      </c>
      <c r="BF63" s="563" t="s">
        <v>896</v>
      </c>
      <c r="BG63" s="563">
        <v>7</v>
      </c>
      <c r="BH63" s="563">
        <v>6</v>
      </c>
      <c r="BI63" s="536"/>
      <c r="BJ63" s="559">
        <v>6</v>
      </c>
      <c r="BK63" s="559">
        <v>0</v>
      </c>
      <c r="BL63" s="536"/>
      <c r="BM63" s="559">
        <v>9</v>
      </c>
      <c r="BN63" s="559">
        <v>10</v>
      </c>
      <c r="BO63" s="559">
        <v>10</v>
      </c>
      <c r="BP63" s="559">
        <v>10</v>
      </c>
      <c r="BQ63" s="559">
        <v>10</v>
      </c>
      <c r="BR63" s="559">
        <v>10</v>
      </c>
      <c r="BS63" s="543">
        <v>72</v>
      </c>
      <c r="BT63" s="536"/>
      <c r="BU63" s="559">
        <v>10</v>
      </c>
      <c r="BV63" s="559">
        <v>10</v>
      </c>
      <c r="BW63" s="559">
        <v>10</v>
      </c>
      <c r="BX63" s="559">
        <v>10</v>
      </c>
      <c r="BY63" s="559">
        <v>10</v>
      </c>
      <c r="BZ63" s="559">
        <v>10</v>
      </c>
      <c r="CA63" s="545">
        <v>60</v>
      </c>
      <c r="CB63" s="545">
        <v>120</v>
      </c>
      <c r="CC63" s="536"/>
      <c r="CR63" s="544" t="s">
        <v>499</v>
      </c>
    </row>
    <row r="64" spans="1:96" s="559" customFormat="1" outlineLevel="1" x14ac:dyDescent="0.2">
      <c r="A64" s="559">
        <v>36012</v>
      </c>
      <c r="C64" s="560" t="s">
        <v>804</v>
      </c>
      <c r="F64" s="562"/>
      <c r="O64" s="559">
        <v>1</v>
      </c>
      <c r="P64" s="559">
        <v>4</v>
      </c>
      <c r="Q64" s="559">
        <v>1</v>
      </c>
      <c r="R64" s="559">
        <v>1</v>
      </c>
      <c r="S64" s="559" t="s">
        <v>896</v>
      </c>
      <c r="T64" s="559">
        <v>1</v>
      </c>
      <c r="U64" s="559">
        <v>2</v>
      </c>
      <c r="V64" s="559" t="s">
        <v>896</v>
      </c>
      <c r="W64" s="559">
        <v>1</v>
      </c>
      <c r="X64" s="559">
        <v>1</v>
      </c>
      <c r="Y64" s="559">
        <v>3</v>
      </c>
      <c r="Z64" s="558">
        <v>1</v>
      </c>
      <c r="AA64" s="558" t="s">
        <v>896</v>
      </c>
      <c r="AB64" s="558" t="s">
        <v>896</v>
      </c>
      <c r="AC64" s="558" t="s">
        <v>896</v>
      </c>
      <c r="AD64" s="558">
        <v>3</v>
      </c>
      <c r="AE64" s="558" t="s">
        <v>896</v>
      </c>
      <c r="AF64" s="558">
        <v>2</v>
      </c>
      <c r="AG64" s="558">
        <v>2</v>
      </c>
      <c r="AH64" s="558">
        <v>1</v>
      </c>
      <c r="AI64" s="558" t="s">
        <v>896</v>
      </c>
      <c r="AJ64" s="558">
        <v>1</v>
      </c>
      <c r="AK64" s="558">
        <v>3</v>
      </c>
      <c r="AL64" s="558" t="s">
        <v>896</v>
      </c>
      <c r="AM64" s="558" t="s">
        <v>896</v>
      </c>
      <c r="AN64" s="558">
        <v>1</v>
      </c>
      <c r="AO64" s="558" t="s">
        <v>896</v>
      </c>
      <c r="AP64" s="558">
        <v>2</v>
      </c>
      <c r="AQ64" s="558" t="s">
        <v>896</v>
      </c>
      <c r="AR64" s="558" t="s">
        <v>896</v>
      </c>
      <c r="AS64" s="558">
        <v>0</v>
      </c>
      <c r="AT64" s="558">
        <v>1</v>
      </c>
      <c r="AU64" s="558" t="s">
        <v>896</v>
      </c>
      <c r="AV64" s="558" t="s">
        <v>896</v>
      </c>
      <c r="AW64" s="558" t="s">
        <v>896</v>
      </c>
      <c r="AX64" s="558">
        <v>2</v>
      </c>
      <c r="AY64" s="558" t="s">
        <v>896</v>
      </c>
      <c r="AZ64" s="558" t="s">
        <v>896</v>
      </c>
      <c r="BA64" s="563" t="s">
        <v>896</v>
      </c>
      <c r="BB64" s="563">
        <v>1</v>
      </c>
      <c r="BC64" s="563" t="s">
        <v>896</v>
      </c>
      <c r="BD64" s="563">
        <v>2</v>
      </c>
      <c r="BE64" s="563">
        <v>1</v>
      </c>
      <c r="BF64" s="563" t="s">
        <v>896</v>
      </c>
      <c r="BG64" s="563" t="s">
        <v>896</v>
      </c>
      <c r="BH64" s="563">
        <v>1</v>
      </c>
      <c r="BI64" s="536"/>
      <c r="BJ64" s="559">
        <v>1</v>
      </c>
      <c r="BK64" s="559">
        <v>0</v>
      </c>
      <c r="BL64" s="536"/>
      <c r="BM64" s="559">
        <v>1</v>
      </c>
      <c r="BS64" s="543">
        <v>5</v>
      </c>
      <c r="BT64" s="536"/>
      <c r="CA64" s="545">
        <v>0</v>
      </c>
      <c r="CB64" s="545">
        <v>0</v>
      </c>
      <c r="CC64" s="536"/>
      <c r="CJ64" s="559">
        <v>1</v>
      </c>
      <c r="CK64" s="559">
        <v>3</v>
      </c>
      <c r="CL64" s="559">
        <v>1</v>
      </c>
      <c r="CM64" s="559">
        <v>1</v>
      </c>
      <c r="CN64" s="559" t="s">
        <v>896</v>
      </c>
      <c r="CO64" s="559">
        <v>1</v>
      </c>
      <c r="CP64" s="559">
        <v>1</v>
      </c>
      <c r="CQ64" s="559" t="s">
        <v>896</v>
      </c>
      <c r="CR64" s="544" t="s">
        <v>499</v>
      </c>
    </row>
    <row r="65" spans="1:96" s="559" customFormat="1" outlineLevel="1" x14ac:dyDescent="0.2">
      <c r="A65" s="559">
        <v>39461</v>
      </c>
      <c r="C65" s="560" t="s">
        <v>805</v>
      </c>
      <c r="F65" s="562">
        <v>0</v>
      </c>
      <c r="G65" s="559">
        <v>1</v>
      </c>
      <c r="H65" s="559">
        <v>2</v>
      </c>
      <c r="I65" s="559">
        <v>1</v>
      </c>
      <c r="K65" s="559">
        <v>1</v>
      </c>
      <c r="O65" s="559">
        <v>1</v>
      </c>
      <c r="Q65" s="559">
        <v>1</v>
      </c>
      <c r="R65" s="559">
        <v>3</v>
      </c>
      <c r="S65" s="559">
        <v>4</v>
      </c>
      <c r="T65" s="559">
        <v>1</v>
      </c>
      <c r="U65" s="559" t="s">
        <v>896</v>
      </c>
      <c r="V65" s="559" t="s">
        <v>896</v>
      </c>
      <c r="W65" s="559" t="s">
        <v>896</v>
      </c>
      <c r="X65" s="559" t="s">
        <v>896</v>
      </c>
      <c r="Y65" s="559" t="s">
        <v>896</v>
      </c>
      <c r="Z65" s="559" t="s">
        <v>896</v>
      </c>
      <c r="AA65" s="559">
        <v>2</v>
      </c>
      <c r="AB65" s="559" t="s">
        <v>896</v>
      </c>
      <c r="AC65" s="559" t="s">
        <v>896</v>
      </c>
      <c r="AD65" s="559" t="s">
        <v>896</v>
      </c>
      <c r="AE65" s="559">
        <v>1</v>
      </c>
      <c r="AF65" s="559">
        <v>1</v>
      </c>
      <c r="AG65" s="559" t="s">
        <v>896</v>
      </c>
      <c r="AH65" s="559" t="s">
        <v>896</v>
      </c>
      <c r="AI65" s="559" t="s">
        <v>896</v>
      </c>
      <c r="AJ65" s="561" t="s">
        <v>896</v>
      </c>
      <c r="AK65" s="561" t="s">
        <v>896</v>
      </c>
      <c r="AL65" s="561" t="s">
        <v>896</v>
      </c>
      <c r="AM65" s="561" t="s">
        <v>896</v>
      </c>
      <c r="AN65" s="561">
        <v>1</v>
      </c>
      <c r="AO65" s="561" t="s">
        <v>896</v>
      </c>
      <c r="AP65" s="561" t="s">
        <v>896</v>
      </c>
      <c r="AQ65" s="561" t="s">
        <v>896</v>
      </c>
      <c r="AR65" s="561" t="s">
        <v>896</v>
      </c>
      <c r="AS65" s="561">
        <v>0</v>
      </c>
      <c r="AT65" s="561">
        <v>0</v>
      </c>
      <c r="AU65" s="561">
        <v>0</v>
      </c>
      <c r="AV65" s="561">
        <v>0</v>
      </c>
      <c r="AW65" s="561">
        <v>0</v>
      </c>
      <c r="AX65" s="561">
        <v>0</v>
      </c>
      <c r="AY65" s="561">
        <v>0</v>
      </c>
      <c r="AZ65" s="561">
        <v>0</v>
      </c>
      <c r="BA65" s="563" t="s">
        <v>896</v>
      </c>
      <c r="BB65" s="563">
        <v>1</v>
      </c>
      <c r="BC65" s="563" t="s">
        <v>896</v>
      </c>
      <c r="BD65" s="563" t="s">
        <v>896</v>
      </c>
      <c r="BE65" s="563" t="s">
        <v>896</v>
      </c>
      <c r="BF65" s="563" t="s">
        <v>896</v>
      </c>
      <c r="BG65" s="563" t="s">
        <v>896</v>
      </c>
      <c r="BH65" s="563" t="s">
        <v>896</v>
      </c>
      <c r="BI65" s="536"/>
      <c r="BK65" s="559" t="s">
        <v>896</v>
      </c>
      <c r="BL65" s="536"/>
      <c r="BS65" s="543" t="s">
        <v>896</v>
      </c>
      <c r="BT65" s="536"/>
      <c r="CA65" s="545">
        <v>0</v>
      </c>
      <c r="CB65" s="545">
        <v>0</v>
      </c>
      <c r="CC65" s="536"/>
      <c r="CE65" s="559">
        <v>2</v>
      </c>
      <c r="CG65" s="559">
        <v>1</v>
      </c>
      <c r="CJ65" s="559">
        <v>1</v>
      </c>
      <c r="CK65" s="559" t="s">
        <v>896</v>
      </c>
      <c r="CL65" s="559">
        <v>1</v>
      </c>
      <c r="CM65" s="559">
        <v>3</v>
      </c>
      <c r="CN65" s="559">
        <v>2</v>
      </c>
      <c r="CO65" s="559">
        <v>1</v>
      </c>
      <c r="CP65" s="559" t="s">
        <v>896</v>
      </c>
      <c r="CQ65" s="559" t="s">
        <v>896</v>
      </c>
      <c r="CR65" s="544" t="s">
        <v>499</v>
      </c>
    </row>
    <row r="66" spans="1:96" s="559" customFormat="1" outlineLevel="1" x14ac:dyDescent="0.2">
      <c r="A66" s="559">
        <v>30288</v>
      </c>
      <c r="C66" s="560" t="s">
        <v>806</v>
      </c>
      <c r="E66" s="559">
        <v>11</v>
      </c>
      <c r="F66" s="562">
        <v>13</v>
      </c>
      <c r="G66" s="559">
        <v>23</v>
      </c>
      <c r="H66" s="559">
        <v>10</v>
      </c>
      <c r="Q66" s="559">
        <v>6</v>
      </c>
      <c r="R66" s="559">
        <v>4</v>
      </c>
      <c r="S66" s="559">
        <v>1</v>
      </c>
      <c r="T66" s="559" t="s">
        <v>896</v>
      </c>
      <c r="U66" s="559" t="s">
        <v>896</v>
      </c>
      <c r="V66" s="559" t="s">
        <v>896</v>
      </c>
      <c r="W66" s="559" t="s">
        <v>896</v>
      </c>
      <c r="X66" s="559" t="s">
        <v>896</v>
      </c>
      <c r="Y66" s="559" t="s">
        <v>896</v>
      </c>
      <c r="Z66" s="559" t="s">
        <v>896</v>
      </c>
      <c r="AA66" s="559" t="s">
        <v>896</v>
      </c>
      <c r="AB66" s="559" t="s">
        <v>896</v>
      </c>
      <c r="AC66" s="559" t="s">
        <v>896</v>
      </c>
      <c r="AD66" s="559" t="s">
        <v>896</v>
      </c>
      <c r="AE66" s="559" t="s">
        <v>896</v>
      </c>
      <c r="AF66" s="559" t="s">
        <v>896</v>
      </c>
      <c r="AG66" s="559" t="s">
        <v>896</v>
      </c>
      <c r="AH66" s="559" t="s">
        <v>896</v>
      </c>
      <c r="AI66" s="559" t="s">
        <v>896</v>
      </c>
      <c r="AJ66" s="561" t="s">
        <v>896</v>
      </c>
      <c r="AK66" s="561" t="s">
        <v>896</v>
      </c>
      <c r="AL66" s="561" t="s">
        <v>896</v>
      </c>
      <c r="AM66" s="561" t="s">
        <v>896</v>
      </c>
      <c r="AN66" s="561" t="s">
        <v>896</v>
      </c>
      <c r="AO66" s="561" t="s">
        <v>896</v>
      </c>
      <c r="AP66" s="561" t="s">
        <v>896</v>
      </c>
      <c r="AQ66" s="561" t="s">
        <v>896</v>
      </c>
      <c r="AR66" s="561" t="s">
        <v>896</v>
      </c>
      <c r="AS66" s="561">
        <v>0</v>
      </c>
      <c r="AT66" s="561">
        <v>0</v>
      </c>
      <c r="AU66" s="561">
        <v>0</v>
      </c>
      <c r="AV66" s="561">
        <v>0</v>
      </c>
      <c r="AW66" s="561">
        <v>0</v>
      </c>
      <c r="AX66" s="561">
        <v>0</v>
      </c>
      <c r="AY66" s="561">
        <v>0</v>
      </c>
      <c r="AZ66" s="561">
        <v>0</v>
      </c>
      <c r="BA66" s="563" t="s">
        <v>896</v>
      </c>
      <c r="BB66" s="563" t="s">
        <v>896</v>
      </c>
      <c r="BC66" s="563" t="s">
        <v>896</v>
      </c>
      <c r="BD66" s="563" t="s">
        <v>896</v>
      </c>
      <c r="BE66" s="563" t="s">
        <v>896</v>
      </c>
      <c r="BF66" s="563" t="s">
        <v>896</v>
      </c>
      <c r="BG66" s="563" t="s">
        <v>896</v>
      </c>
      <c r="BH66" s="563" t="s">
        <v>896</v>
      </c>
      <c r="BI66" s="536"/>
      <c r="BK66" s="559" t="s">
        <v>896</v>
      </c>
      <c r="BL66" s="536"/>
      <c r="BS66" s="543" t="s">
        <v>896</v>
      </c>
      <c r="BT66" s="536"/>
      <c r="CA66" s="545">
        <v>0</v>
      </c>
      <c r="CB66" s="545">
        <v>0</v>
      </c>
      <c r="CC66" s="536"/>
      <c r="CD66" s="559">
        <v>7</v>
      </c>
      <c r="CE66" s="559">
        <v>4</v>
      </c>
      <c r="CK66" s="559" t="s">
        <v>896</v>
      </c>
      <c r="CL66" s="559">
        <v>4</v>
      </c>
      <c r="CM66" s="559">
        <v>1</v>
      </c>
      <c r="CN66" s="559">
        <v>1</v>
      </c>
      <c r="CO66" s="559" t="s">
        <v>896</v>
      </c>
      <c r="CP66" s="559" t="s">
        <v>896</v>
      </c>
      <c r="CQ66" s="559" t="s">
        <v>896</v>
      </c>
      <c r="CR66" s="544" t="s">
        <v>499</v>
      </c>
    </row>
    <row r="67" spans="1:96" s="559" customFormat="1" outlineLevel="1" x14ac:dyDescent="0.2">
      <c r="A67" s="559">
        <v>135525</v>
      </c>
      <c r="C67" s="560" t="s">
        <v>807</v>
      </c>
      <c r="F67" s="562"/>
      <c r="AE67" s="559" t="s">
        <v>896</v>
      </c>
      <c r="AF67" s="559" t="s">
        <v>896</v>
      </c>
      <c r="AG67" s="559" t="s">
        <v>896</v>
      </c>
      <c r="AH67" s="559">
        <v>1</v>
      </c>
      <c r="AI67" s="559" t="s">
        <v>896</v>
      </c>
      <c r="AJ67" s="561" t="s">
        <v>896</v>
      </c>
      <c r="AK67" s="561" t="s">
        <v>896</v>
      </c>
      <c r="AL67" s="561" t="s">
        <v>896</v>
      </c>
      <c r="AM67" s="561" t="s">
        <v>896</v>
      </c>
      <c r="AN67" s="561" t="s">
        <v>896</v>
      </c>
      <c r="AO67" s="561" t="s">
        <v>896</v>
      </c>
      <c r="AP67" s="561" t="s">
        <v>896</v>
      </c>
      <c r="AQ67" s="561" t="s">
        <v>896</v>
      </c>
      <c r="AR67" s="561" t="s">
        <v>896</v>
      </c>
      <c r="AS67" s="561" t="s">
        <v>896</v>
      </c>
      <c r="AT67" s="561" t="s">
        <v>896</v>
      </c>
      <c r="AU67" s="561" t="s">
        <v>896</v>
      </c>
      <c r="AV67" s="561" t="s">
        <v>896</v>
      </c>
      <c r="AW67" s="561" t="s">
        <v>896</v>
      </c>
      <c r="AX67" s="561" t="s">
        <v>896</v>
      </c>
      <c r="AY67" s="561" t="s">
        <v>896</v>
      </c>
      <c r="AZ67" s="561" t="s">
        <v>896</v>
      </c>
      <c r="BA67" s="563" t="s">
        <v>896</v>
      </c>
      <c r="BB67" s="563" t="s">
        <v>896</v>
      </c>
      <c r="BC67" s="563" t="s">
        <v>896</v>
      </c>
      <c r="BD67" s="563" t="s">
        <v>896</v>
      </c>
      <c r="BE67" s="563">
        <v>9</v>
      </c>
      <c r="BF67" s="563">
        <v>10</v>
      </c>
      <c r="BG67" s="563">
        <v>15</v>
      </c>
      <c r="BH67" s="563">
        <v>12</v>
      </c>
      <c r="BI67" s="536"/>
      <c r="BJ67" s="559">
        <v>15</v>
      </c>
      <c r="BK67" s="559">
        <v>-3</v>
      </c>
      <c r="BL67" s="536"/>
      <c r="BM67" s="559">
        <v>25</v>
      </c>
      <c r="BN67" s="559">
        <v>20</v>
      </c>
      <c r="BO67" s="559">
        <v>20</v>
      </c>
      <c r="BP67" s="559">
        <v>20</v>
      </c>
      <c r="BQ67" s="559">
        <v>20</v>
      </c>
      <c r="BR67" s="559">
        <v>20</v>
      </c>
      <c r="BS67" s="543">
        <v>183</v>
      </c>
      <c r="BT67" s="536"/>
      <c r="BU67" s="559">
        <v>25</v>
      </c>
      <c r="BV67" s="559">
        <v>25</v>
      </c>
      <c r="BW67" s="559">
        <v>25</v>
      </c>
      <c r="BX67" s="559">
        <v>25</v>
      </c>
      <c r="BY67" s="559">
        <v>25</v>
      </c>
      <c r="BZ67" s="559">
        <v>25</v>
      </c>
      <c r="CA67" s="545">
        <v>150</v>
      </c>
      <c r="CB67" s="545">
        <v>300</v>
      </c>
      <c r="CC67" s="536"/>
      <c r="CR67" s="544" t="s">
        <v>499</v>
      </c>
    </row>
    <row r="68" spans="1:96" s="559" customFormat="1" outlineLevel="1" x14ac:dyDescent="0.2">
      <c r="A68" s="559">
        <v>0</v>
      </c>
      <c r="C68" s="560" t="s">
        <v>808</v>
      </c>
      <c r="E68" s="559">
        <v>6</v>
      </c>
      <c r="F68" s="562">
        <v>11</v>
      </c>
      <c r="G68" s="559">
        <v>2</v>
      </c>
      <c r="H68" s="559">
        <v>3</v>
      </c>
      <c r="I68" s="559">
        <v>4</v>
      </c>
      <c r="J68" s="559">
        <v>1</v>
      </c>
      <c r="L68" s="559">
        <v>3</v>
      </c>
      <c r="N68" s="559">
        <v>1</v>
      </c>
      <c r="Q68" s="559" t="s">
        <v>896</v>
      </c>
      <c r="R68" s="559" t="s">
        <v>896</v>
      </c>
      <c r="S68" s="559" t="s">
        <v>896</v>
      </c>
      <c r="T68" s="559" t="s">
        <v>896</v>
      </c>
      <c r="U68" s="559" t="s">
        <v>896</v>
      </c>
      <c r="V68" s="558" t="s">
        <v>896</v>
      </c>
      <c r="W68" s="558" t="s">
        <v>896</v>
      </c>
      <c r="X68" s="558">
        <v>1</v>
      </c>
      <c r="Y68" s="558" t="s">
        <v>896</v>
      </c>
      <c r="Z68" s="558" t="s">
        <v>896</v>
      </c>
      <c r="AA68" s="558" t="s">
        <v>896</v>
      </c>
      <c r="AB68" s="558" t="s">
        <v>896</v>
      </c>
      <c r="AC68" s="558">
        <v>1</v>
      </c>
      <c r="AD68" s="558" t="s">
        <v>896</v>
      </c>
      <c r="AE68" s="558" t="s">
        <v>896</v>
      </c>
      <c r="AF68" s="558" t="s">
        <v>896</v>
      </c>
      <c r="AG68" s="558" t="s">
        <v>896</v>
      </c>
      <c r="AH68" s="558" t="s">
        <v>896</v>
      </c>
      <c r="AI68" s="558" t="s">
        <v>896</v>
      </c>
      <c r="AJ68" s="563" t="s">
        <v>896</v>
      </c>
      <c r="AK68" s="563" t="s">
        <v>896</v>
      </c>
      <c r="AL68" s="563" t="s">
        <v>896</v>
      </c>
      <c r="AM68" s="563" t="s">
        <v>896</v>
      </c>
      <c r="AN68" s="563" t="s">
        <v>896</v>
      </c>
      <c r="AO68" s="563" t="s">
        <v>896</v>
      </c>
      <c r="AP68" s="563" t="s">
        <v>896</v>
      </c>
      <c r="AQ68" s="563" t="s">
        <v>896</v>
      </c>
      <c r="AR68" s="563" t="s">
        <v>896</v>
      </c>
      <c r="AS68" s="563" t="s">
        <v>896</v>
      </c>
      <c r="AT68" s="563" t="s">
        <v>896</v>
      </c>
      <c r="AU68" s="563" t="s">
        <v>896</v>
      </c>
      <c r="AV68" s="563" t="s">
        <v>896</v>
      </c>
      <c r="AW68" s="563" t="s">
        <v>896</v>
      </c>
      <c r="AX68" s="563">
        <v>2</v>
      </c>
      <c r="AY68" s="563">
        <v>1</v>
      </c>
      <c r="AZ68" s="563">
        <v>4</v>
      </c>
      <c r="BA68" s="563">
        <v>2</v>
      </c>
      <c r="BB68" s="563">
        <v>3</v>
      </c>
      <c r="BC68" s="563">
        <v>5</v>
      </c>
      <c r="BD68" s="563" t="s">
        <v>896</v>
      </c>
      <c r="BE68" s="563" t="s">
        <v>896</v>
      </c>
      <c r="BF68" s="563" t="s">
        <v>896</v>
      </c>
      <c r="BG68" s="563" t="s">
        <v>896</v>
      </c>
      <c r="BH68" s="563" t="s">
        <v>896</v>
      </c>
      <c r="BI68" s="536"/>
      <c r="BK68" s="559" t="s">
        <v>896</v>
      </c>
      <c r="BL68" s="536"/>
      <c r="BS68" s="543" t="s">
        <v>896</v>
      </c>
      <c r="BT68" s="536"/>
      <c r="CA68" s="545">
        <v>0</v>
      </c>
      <c r="CB68" s="545">
        <v>0</v>
      </c>
      <c r="CC68" s="536"/>
      <c r="CD68" s="559">
        <v>2</v>
      </c>
      <c r="CE68" s="559">
        <v>2</v>
      </c>
      <c r="CH68" s="559">
        <v>2</v>
      </c>
      <c r="CK68" s="559" t="s">
        <v>896</v>
      </c>
      <c r="CL68" s="559" t="s">
        <v>896</v>
      </c>
      <c r="CM68" s="559" t="s">
        <v>896</v>
      </c>
      <c r="CN68" s="559" t="s">
        <v>896</v>
      </c>
      <c r="CO68" s="559" t="s">
        <v>896</v>
      </c>
      <c r="CP68" s="559" t="s">
        <v>896</v>
      </c>
      <c r="CQ68" s="558" t="s">
        <v>896</v>
      </c>
      <c r="CR68" s="544" t="s">
        <v>499</v>
      </c>
    </row>
    <row r="69" spans="1:96" s="559" customFormat="1" outlineLevel="1" x14ac:dyDescent="0.2">
      <c r="A69" s="559">
        <v>30205</v>
      </c>
      <c r="C69" s="560" t="s">
        <v>809</v>
      </c>
      <c r="E69" s="559">
        <v>5</v>
      </c>
      <c r="F69" s="562">
        <v>4</v>
      </c>
      <c r="G69" s="559">
        <v>8</v>
      </c>
      <c r="H69" s="559">
        <v>5</v>
      </c>
      <c r="I69" s="559">
        <v>6</v>
      </c>
      <c r="J69" s="559">
        <v>4</v>
      </c>
      <c r="K69" s="559">
        <v>7</v>
      </c>
      <c r="L69" s="559">
        <v>5</v>
      </c>
      <c r="M69" s="559">
        <v>6</v>
      </c>
      <c r="N69" s="559">
        <v>4</v>
      </c>
      <c r="O69" s="559">
        <v>7</v>
      </c>
      <c r="P69" s="559">
        <v>4</v>
      </c>
      <c r="Q69" s="559">
        <v>5</v>
      </c>
      <c r="R69" s="559">
        <v>7</v>
      </c>
      <c r="S69" s="559">
        <v>8</v>
      </c>
      <c r="T69" s="559">
        <v>6</v>
      </c>
      <c r="U69" s="559">
        <v>6</v>
      </c>
      <c r="V69" s="558">
        <v>6</v>
      </c>
      <c r="W69" s="558">
        <v>8</v>
      </c>
      <c r="X69" s="558">
        <v>6</v>
      </c>
      <c r="Y69" s="559">
        <v>4</v>
      </c>
      <c r="Z69" s="558">
        <v>6</v>
      </c>
      <c r="AA69" s="558">
        <v>5</v>
      </c>
      <c r="AB69" s="558">
        <v>10</v>
      </c>
      <c r="AC69" s="558">
        <v>8</v>
      </c>
      <c r="AD69" s="558">
        <v>8</v>
      </c>
      <c r="AE69" s="558">
        <v>6</v>
      </c>
      <c r="AF69" s="558">
        <v>8</v>
      </c>
      <c r="AG69" s="558">
        <v>5</v>
      </c>
      <c r="AH69" s="558">
        <v>9</v>
      </c>
      <c r="AI69" s="558">
        <v>8</v>
      </c>
      <c r="AJ69" s="558">
        <v>4</v>
      </c>
      <c r="AK69" s="558">
        <v>3</v>
      </c>
      <c r="AL69" s="558">
        <v>8</v>
      </c>
      <c r="AM69" s="558">
        <v>5</v>
      </c>
      <c r="AN69" s="558">
        <v>7</v>
      </c>
      <c r="AO69" s="558">
        <v>5</v>
      </c>
      <c r="AP69" s="558">
        <v>6</v>
      </c>
      <c r="AQ69" s="558">
        <v>6</v>
      </c>
      <c r="AR69" s="558">
        <v>4</v>
      </c>
      <c r="AS69" s="558">
        <v>2</v>
      </c>
      <c r="AT69" s="558">
        <v>9</v>
      </c>
      <c r="AU69" s="558">
        <v>8</v>
      </c>
      <c r="AV69" s="558">
        <v>3</v>
      </c>
      <c r="AW69" s="558">
        <v>4</v>
      </c>
      <c r="AX69" s="558">
        <v>4</v>
      </c>
      <c r="AY69" s="558">
        <v>6</v>
      </c>
      <c r="AZ69" s="558">
        <v>9</v>
      </c>
      <c r="BA69" s="558">
        <v>7</v>
      </c>
      <c r="BB69" s="558">
        <v>7</v>
      </c>
      <c r="BC69" s="558">
        <v>9</v>
      </c>
      <c r="BD69" s="558">
        <v>5</v>
      </c>
      <c r="BE69" s="558">
        <v>4</v>
      </c>
      <c r="BF69" s="558">
        <v>8</v>
      </c>
      <c r="BG69" s="558">
        <v>4</v>
      </c>
      <c r="BH69" s="558">
        <v>4</v>
      </c>
      <c r="BI69" s="536"/>
      <c r="BJ69" s="559">
        <v>5</v>
      </c>
      <c r="BK69" s="559">
        <v>-1</v>
      </c>
      <c r="BL69" s="536"/>
      <c r="BM69" s="559">
        <v>4</v>
      </c>
      <c r="BN69" s="559">
        <v>6</v>
      </c>
      <c r="BO69" s="559">
        <v>6</v>
      </c>
      <c r="BP69" s="559">
        <v>6</v>
      </c>
      <c r="BQ69" s="559">
        <v>6</v>
      </c>
      <c r="BR69" s="559">
        <v>6</v>
      </c>
      <c r="BS69" s="543">
        <v>68</v>
      </c>
      <c r="BT69" s="536"/>
      <c r="BU69" s="559">
        <v>6</v>
      </c>
      <c r="BV69" s="559">
        <v>6</v>
      </c>
      <c r="BW69" s="559">
        <v>5</v>
      </c>
      <c r="BX69" s="559">
        <v>5</v>
      </c>
      <c r="BY69" s="559">
        <v>6</v>
      </c>
      <c r="BZ69" s="559">
        <v>6</v>
      </c>
      <c r="CA69" s="545">
        <v>34</v>
      </c>
      <c r="CB69" s="545">
        <v>68</v>
      </c>
      <c r="CC69" s="536"/>
      <c r="CD69" s="559">
        <v>4</v>
      </c>
      <c r="CE69" s="559">
        <v>4</v>
      </c>
      <c r="CG69" s="559">
        <v>4</v>
      </c>
      <c r="CH69" s="559">
        <v>3</v>
      </c>
      <c r="CI69" s="559">
        <v>3</v>
      </c>
      <c r="CJ69" s="559">
        <v>4</v>
      </c>
      <c r="CK69" s="559">
        <v>3</v>
      </c>
      <c r="CL69" s="559">
        <v>3</v>
      </c>
      <c r="CM69" s="559">
        <v>4</v>
      </c>
      <c r="CN69" s="559">
        <v>4</v>
      </c>
      <c r="CO69" s="559">
        <v>4</v>
      </c>
      <c r="CP69" s="559">
        <v>3</v>
      </c>
      <c r="CQ69" s="558">
        <v>3</v>
      </c>
      <c r="CR69" s="544" t="s">
        <v>499</v>
      </c>
    </row>
    <row r="70" spans="1:96" s="559" customFormat="1" outlineLevel="1" x14ac:dyDescent="0.2">
      <c r="A70" s="559">
        <v>47993</v>
      </c>
      <c r="C70" s="560" t="s">
        <v>810</v>
      </c>
      <c r="F70" s="562"/>
      <c r="V70" s="558"/>
      <c r="W70" s="558"/>
      <c r="X70" s="558"/>
      <c r="Z70" s="558"/>
      <c r="AA70" s="558"/>
      <c r="AB70" s="558"/>
      <c r="AC70" s="558"/>
      <c r="AD70" s="558"/>
      <c r="AE70" s="558"/>
      <c r="AF70" s="558" t="s">
        <v>896</v>
      </c>
      <c r="AG70" s="558" t="s">
        <v>896</v>
      </c>
      <c r="AH70" s="558" t="s">
        <v>896</v>
      </c>
      <c r="AI70" s="558" t="s">
        <v>896</v>
      </c>
      <c r="AJ70" s="558" t="s">
        <v>896</v>
      </c>
      <c r="AK70" s="558" t="s">
        <v>896</v>
      </c>
      <c r="AL70" s="558" t="s">
        <v>896</v>
      </c>
      <c r="AM70" s="558" t="s">
        <v>896</v>
      </c>
      <c r="AN70" s="558" t="s">
        <v>896</v>
      </c>
      <c r="AO70" s="558" t="s">
        <v>896</v>
      </c>
      <c r="AP70" s="558" t="s">
        <v>896</v>
      </c>
      <c r="AQ70" s="558" t="s">
        <v>896</v>
      </c>
      <c r="AR70" s="558" t="s">
        <v>896</v>
      </c>
      <c r="AS70" s="558" t="s">
        <v>896</v>
      </c>
      <c r="AT70" s="558" t="s">
        <v>896</v>
      </c>
      <c r="AU70" s="558" t="s">
        <v>896</v>
      </c>
      <c r="AV70" s="558" t="s">
        <v>896</v>
      </c>
      <c r="AW70" s="558">
        <v>3</v>
      </c>
      <c r="AX70" s="558">
        <v>7</v>
      </c>
      <c r="AY70" s="558">
        <v>10</v>
      </c>
      <c r="AZ70" s="558">
        <v>2</v>
      </c>
      <c r="BA70" s="558">
        <v>23</v>
      </c>
      <c r="BB70" s="558">
        <v>18</v>
      </c>
      <c r="BC70" s="558">
        <v>11</v>
      </c>
      <c r="BD70" s="558">
        <v>24</v>
      </c>
      <c r="BE70" s="558">
        <v>27</v>
      </c>
      <c r="BF70" s="558">
        <v>23</v>
      </c>
      <c r="BG70" s="558">
        <v>18</v>
      </c>
      <c r="BH70" s="558">
        <v>15</v>
      </c>
      <c r="BI70" s="536"/>
      <c r="BJ70" s="559">
        <v>15</v>
      </c>
      <c r="BK70" s="559">
        <v>0</v>
      </c>
      <c r="BL70" s="536"/>
      <c r="BM70" s="559">
        <v>24</v>
      </c>
      <c r="BN70" s="559">
        <v>20</v>
      </c>
      <c r="BO70" s="559">
        <v>20</v>
      </c>
      <c r="BP70" s="559">
        <v>20</v>
      </c>
      <c r="BQ70" s="559">
        <v>20</v>
      </c>
      <c r="BR70" s="559">
        <v>20</v>
      </c>
      <c r="BS70" s="543">
        <v>242</v>
      </c>
      <c r="BT70" s="536"/>
      <c r="BU70" s="559">
        <v>25</v>
      </c>
      <c r="BV70" s="559">
        <v>25</v>
      </c>
      <c r="BW70" s="559">
        <v>25</v>
      </c>
      <c r="BX70" s="559">
        <v>25</v>
      </c>
      <c r="BY70" s="559">
        <v>25</v>
      </c>
      <c r="BZ70" s="559">
        <v>25</v>
      </c>
      <c r="CA70" s="545">
        <v>150</v>
      </c>
      <c r="CB70" s="545">
        <v>300</v>
      </c>
      <c r="CC70" s="536"/>
      <c r="CQ70" s="558"/>
      <c r="CR70" s="544" t="s">
        <v>499</v>
      </c>
    </row>
    <row r="71" spans="1:96" s="559" customFormat="1" outlineLevel="1" x14ac:dyDescent="0.2">
      <c r="A71" s="559">
        <v>137133</v>
      </c>
      <c r="C71" s="560" t="s">
        <v>811</v>
      </c>
      <c r="F71" s="562"/>
      <c r="V71" s="558"/>
      <c r="W71" s="558"/>
      <c r="X71" s="558"/>
      <c r="Z71" s="558"/>
      <c r="AA71" s="558"/>
      <c r="AB71" s="558"/>
      <c r="AC71" s="558"/>
      <c r="AD71" s="558"/>
      <c r="AE71" s="558"/>
      <c r="AF71" s="558"/>
      <c r="AG71" s="558"/>
      <c r="AH71" s="558"/>
      <c r="AI71" s="558"/>
      <c r="AJ71" s="563"/>
      <c r="AK71" s="563"/>
      <c r="AL71" s="563"/>
      <c r="AM71" s="563"/>
      <c r="AN71" s="563"/>
      <c r="AO71" s="563"/>
      <c r="AP71" s="563"/>
      <c r="AQ71" s="558" t="s">
        <v>896</v>
      </c>
      <c r="AR71" s="558" t="s">
        <v>896</v>
      </c>
      <c r="AS71" s="558" t="s">
        <v>896</v>
      </c>
      <c r="AT71" s="558" t="s">
        <v>896</v>
      </c>
      <c r="AU71" s="558" t="s">
        <v>896</v>
      </c>
      <c r="AV71" s="558" t="s">
        <v>896</v>
      </c>
      <c r="AW71" s="558" t="s">
        <v>896</v>
      </c>
      <c r="AX71" s="558" t="s">
        <v>896</v>
      </c>
      <c r="AY71" s="558" t="s">
        <v>896</v>
      </c>
      <c r="AZ71" s="558" t="s">
        <v>896</v>
      </c>
      <c r="BA71" s="558">
        <v>2</v>
      </c>
      <c r="BB71" s="558">
        <v>4</v>
      </c>
      <c r="BC71" s="558">
        <v>2</v>
      </c>
      <c r="BD71" s="558" t="s">
        <v>896</v>
      </c>
      <c r="BE71" s="558" t="s">
        <v>896</v>
      </c>
      <c r="BF71" s="558" t="s">
        <v>896</v>
      </c>
      <c r="BG71" s="558" t="s">
        <v>896</v>
      </c>
      <c r="BH71" s="558" t="s">
        <v>896</v>
      </c>
      <c r="BI71" s="536"/>
      <c r="BJ71" s="559">
        <v>0</v>
      </c>
      <c r="BK71" s="559">
        <v>0</v>
      </c>
      <c r="BL71" s="536"/>
      <c r="BM71" s="559">
        <v>0</v>
      </c>
      <c r="BN71" s="559">
        <v>0</v>
      </c>
      <c r="BO71" s="559">
        <v>0</v>
      </c>
      <c r="BP71" s="559">
        <v>0</v>
      </c>
      <c r="BQ71" s="559">
        <v>0</v>
      </c>
      <c r="BR71" s="559">
        <v>0</v>
      </c>
      <c r="BS71" s="543">
        <v>2</v>
      </c>
      <c r="BT71" s="536"/>
      <c r="BU71" s="559">
        <v>0</v>
      </c>
      <c r="BV71" s="559">
        <v>0</v>
      </c>
      <c r="BW71" s="559">
        <v>0</v>
      </c>
      <c r="BX71" s="559">
        <v>0</v>
      </c>
      <c r="BY71" s="559">
        <v>0</v>
      </c>
      <c r="BZ71" s="559">
        <v>0</v>
      </c>
      <c r="CA71" s="545">
        <v>0</v>
      </c>
      <c r="CB71" s="545">
        <v>0</v>
      </c>
      <c r="CC71" s="536"/>
      <c r="CQ71" s="558"/>
      <c r="CR71" s="544" t="s">
        <v>499</v>
      </c>
    </row>
    <row r="72" spans="1:96" s="559" customFormat="1" outlineLevel="1" x14ac:dyDescent="0.2">
      <c r="A72" s="559">
        <v>37135</v>
      </c>
      <c r="C72" s="560" t="s">
        <v>812</v>
      </c>
      <c r="E72" s="559">
        <v>0</v>
      </c>
      <c r="F72" s="562">
        <v>1</v>
      </c>
      <c r="G72" s="559">
        <v>3</v>
      </c>
      <c r="H72" s="559">
        <v>3</v>
      </c>
      <c r="J72" s="559">
        <v>2</v>
      </c>
      <c r="L72" s="559">
        <v>3</v>
      </c>
      <c r="N72" s="559">
        <v>4</v>
      </c>
      <c r="Q72" s="559" t="s">
        <v>896</v>
      </c>
      <c r="R72" s="559" t="s">
        <v>896</v>
      </c>
      <c r="S72" s="559">
        <v>4</v>
      </c>
      <c r="T72" s="559">
        <v>2</v>
      </c>
      <c r="U72" s="559" t="s">
        <v>896</v>
      </c>
      <c r="V72" s="558">
        <v>2</v>
      </c>
      <c r="W72" s="558" t="s">
        <v>896</v>
      </c>
      <c r="X72" s="558" t="s">
        <v>896</v>
      </c>
      <c r="Y72" s="558" t="s">
        <v>896</v>
      </c>
      <c r="Z72" s="558" t="s">
        <v>896</v>
      </c>
      <c r="AA72" s="558" t="s">
        <v>896</v>
      </c>
      <c r="AB72" s="558" t="s">
        <v>896</v>
      </c>
      <c r="AC72" s="558" t="s">
        <v>896</v>
      </c>
      <c r="AD72" s="558" t="s">
        <v>896</v>
      </c>
      <c r="AE72" s="558">
        <v>1</v>
      </c>
      <c r="AF72" s="558" t="s">
        <v>896</v>
      </c>
      <c r="AG72" s="558" t="s">
        <v>896</v>
      </c>
      <c r="AH72" s="558" t="s">
        <v>896</v>
      </c>
      <c r="AI72" s="558" t="s">
        <v>896</v>
      </c>
      <c r="AJ72" s="563" t="s">
        <v>896</v>
      </c>
      <c r="AK72" s="563" t="s">
        <v>896</v>
      </c>
      <c r="AL72" s="563" t="s">
        <v>896</v>
      </c>
      <c r="AM72" s="563" t="s">
        <v>896</v>
      </c>
      <c r="AN72" s="563" t="s">
        <v>896</v>
      </c>
      <c r="AO72" s="563" t="s">
        <v>896</v>
      </c>
      <c r="AP72" s="563" t="s">
        <v>896</v>
      </c>
      <c r="AQ72" s="563" t="s">
        <v>896</v>
      </c>
      <c r="AR72" s="563" t="s">
        <v>896</v>
      </c>
      <c r="AS72" s="563">
        <v>0</v>
      </c>
      <c r="AT72" s="563">
        <v>0</v>
      </c>
      <c r="AU72" s="563">
        <v>0</v>
      </c>
      <c r="AV72" s="563">
        <v>0</v>
      </c>
      <c r="AW72" s="563">
        <v>0</v>
      </c>
      <c r="AX72" s="563">
        <v>0</v>
      </c>
      <c r="AY72" s="563">
        <v>0</v>
      </c>
      <c r="AZ72" s="563">
        <v>0</v>
      </c>
      <c r="BA72" s="558" t="s">
        <v>896</v>
      </c>
      <c r="BB72" s="558" t="s">
        <v>896</v>
      </c>
      <c r="BC72" s="558" t="s">
        <v>896</v>
      </c>
      <c r="BD72" s="558" t="s">
        <v>896</v>
      </c>
      <c r="BE72" s="558" t="s">
        <v>896</v>
      </c>
      <c r="BF72" s="558" t="s">
        <v>896</v>
      </c>
      <c r="BG72" s="558" t="s">
        <v>896</v>
      </c>
      <c r="BH72" s="558" t="s">
        <v>896</v>
      </c>
      <c r="BI72" s="536"/>
      <c r="BJ72" s="559">
        <v>0</v>
      </c>
      <c r="BK72" s="559">
        <v>0</v>
      </c>
      <c r="BL72" s="536"/>
      <c r="BM72" s="559">
        <v>0</v>
      </c>
      <c r="BN72" s="559">
        <v>0</v>
      </c>
      <c r="BO72" s="559">
        <v>0</v>
      </c>
      <c r="BP72" s="559">
        <v>0</v>
      </c>
      <c r="BQ72" s="559">
        <v>0</v>
      </c>
      <c r="BR72" s="559">
        <v>0</v>
      </c>
      <c r="BS72" s="543">
        <v>0</v>
      </c>
      <c r="BT72" s="536"/>
      <c r="BU72" s="559">
        <v>0</v>
      </c>
      <c r="BV72" s="559">
        <v>0</v>
      </c>
      <c r="BW72" s="559">
        <v>0</v>
      </c>
      <c r="BX72" s="559">
        <v>0</v>
      </c>
      <c r="BY72" s="559">
        <v>0</v>
      </c>
      <c r="BZ72" s="559">
        <v>0</v>
      </c>
      <c r="CA72" s="545">
        <v>0</v>
      </c>
      <c r="CB72" s="545">
        <v>0</v>
      </c>
      <c r="CC72" s="536"/>
      <c r="CD72" s="559">
        <v>1</v>
      </c>
      <c r="CE72" s="559">
        <v>1</v>
      </c>
      <c r="CH72" s="559">
        <v>1</v>
      </c>
      <c r="CK72" s="559" t="s">
        <v>896</v>
      </c>
      <c r="CL72" s="559" t="s">
        <v>896</v>
      </c>
      <c r="CM72" s="559" t="s">
        <v>896</v>
      </c>
      <c r="CN72" s="559">
        <v>2</v>
      </c>
      <c r="CO72" s="559">
        <v>1</v>
      </c>
      <c r="CP72" s="559" t="s">
        <v>896</v>
      </c>
      <c r="CQ72" s="558">
        <v>1</v>
      </c>
      <c r="CR72" s="544" t="s">
        <v>499</v>
      </c>
    </row>
    <row r="73" spans="1:96" s="558" customFormat="1" outlineLevel="1" x14ac:dyDescent="0.2">
      <c r="A73" s="558" t="e">
        <v>#N/A</v>
      </c>
      <c r="C73" s="606" t="s">
        <v>813</v>
      </c>
      <c r="F73" s="607"/>
      <c r="J73" s="558">
        <v>19</v>
      </c>
      <c r="K73" s="558">
        <v>6</v>
      </c>
      <c r="L73" s="558">
        <v>12</v>
      </c>
      <c r="M73" s="558">
        <v>7</v>
      </c>
      <c r="N73" s="558">
        <v>9</v>
      </c>
      <c r="O73" s="558">
        <v>10</v>
      </c>
      <c r="P73" s="558">
        <v>7</v>
      </c>
      <c r="Q73" s="558" t="s">
        <v>896</v>
      </c>
      <c r="R73" s="558" t="s">
        <v>896</v>
      </c>
      <c r="S73" s="558" t="s">
        <v>896</v>
      </c>
      <c r="T73" s="558" t="s">
        <v>896</v>
      </c>
      <c r="U73" s="558" t="s">
        <v>896</v>
      </c>
      <c r="V73" s="558" t="s">
        <v>896</v>
      </c>
      <c r="W73" s="558" t="s">
        <v>896</v>
      </c>
      <c r="X73" s="558" t="s">
        <v>896</v>
      </c>
      <c r="Y73" s="559" t="s">
        <v>896</v>
      </c>
      <c r="Z73" s="558" t="s">
        <v>896</v>
      </c>
      <c r="AA73" s="558" t="s">
        <v>896</v>
      </c>
      <c r="AB73" s="558" t="s">
        <v>896</v>
      </c>
      <c r="AC73" s="558" t="s">
        <v>896</v>
      </c>
      <c r="AD73" s="558" t="s">
        <v>896</v>
      </c>
      <c r="AE73" s="558" t="s">
        <v>896</v>
      </c>
      <c r="AF73" s="558" t="s">
        <v>896</v>
      </c>
      <c r="AG73" s="558" t="s">
        <v>896</v>
      </c>
      <c r="AH73" s="558" t="s">
        <v>896</v>
      </c>
      <c r="AI73" s="558" t="s">
        <v>896</v>
      </c>
      <c r="AJ73" s="558" t="s">
        <v>896</v>
      </c>
      <c r="AK73" s="558" t="s">
        <v>896</v>
      </c>
      <c r="AL73" s="558" t="s">
        <v>896</v>
      </c>
      <c r="AM73" s="558" t="s">
        <v>896</v>
      </c>
      <c r="AN73" s="558" t="s">
        <v>896</v>
      </c>
      <c r="AO73" s="558" t="s">
        <v>896</v>
      </c>
      <c r="AP73" s="558" t="s">
        <v>896</v>
      </c>
      <c r="AQ73" s="558" t="s">
        <v>896</v>
      </c>
      <c r="AR73" s="558" t="s">
        <v>896</v>
      </c>
      <c r="AS73" s="558" t="s">
        <v>896</v>
      </c>
      <c r="AT73" s="558" t="s">
        <v>896</v>
      </c>
      <c r="AU73" s="558" t="s">
        <v>896</v>
      </c>
      <c r="AV73" s="558" t="s">
        <v>896</v>
      </c>
      <c r="AW73" s="558" t="s">
        <v>896</v>
      </c>
      <c r="AX73" s="558" t="s">
        <v>896</v>
      </c>
      <c r="AY73" s="558" t="s">
        <v>896</v>
      </c>
      <c r="AZ73" s="558" t="s">
        <v>896</v>
      </c>
      <c r="BA73" s="558" t="s">
        <v>896</v>
      </c>
      <c r="BB73" s="558" t="s">
        <v>896</v>
      </c>
      <c r="BC73" s="558" t="s">
        <v>896</v>
      </c>
      <c r="BD73" s="558" t="s">
        <v>896</v>
      </c>
      <c r="BE73" s="558" t="s">
        <v>896</v>
      </c>
      <c r="BF73" s="558" t="s">
        <v>896</v>
      </c>
      <c r="BG73" s="558" t="s">
        <v>896</v>
      </c>
      <c r="BH73" s="558" t="s">
        <v>896</v>
      </c>
      <c r="BI73" s="536"/>
      <c r="BJ73" s="558">
        <v>5</v>
      </c>
      <c r="BK73" s="558">
        <v>-5</v>
      </c>
      <c r="BL73" s="536"/>
      <c r="BM73" s="558">
        <v>1</v>
      </c>
      <c r="BN73" s="558">
        <v>5</v>
      </c>
      <c r="BO73" s="558">
        <v>5</v>
      </c>
      <c r="BP73" s="558">
        <v>5</v>
      </c>
      <c r="BQ73" s="558">
        <v>5</v>
      </c>
      <c r="BR73" s="558">
        <v>5</v>
      </c>
      <c r="BS73" s="543">
        <v>26</v>
      </c>
      <c r="BT73" s="536"/>
      <c r="BU73" s="558">
        <v>5</v>
      </c>
      <c r="BV73" s="558">
        <v>5</v>
      </c>
      <c r="BW73" s="558">
        <v>5</v>
      </c>
      <c r="BX73" s="558">
        <v>5</v>
      </c>
      <c r="BY73" s="558">
        <v>5</v>
      </c>
      <c r="BZ73" s="558">
        <v>5</v>
      </c>
      <c r="CA73" s="545">
        <v>30</v>
      </c>
      <c r="CB73" s="545">
        <v>60</v>
      </c>
      <c r="CC73" s="536"/>
      <c r="CD73" s="558">
        <v>0</v>
      </c>
      <c r="CG73" s="558">
        <v>5</v>
      </c>
      <c r="CH73" s="558">
        <v>10</v>
      </c>
      <c r="CI73" s="558">
        <v>5</v>
      </c>
      <c r="CJ73" s="558">
        <v>5</v>
      </c>
      <c r="CK73" s="558" t="s">
        <v>896</v>
      </c>
      <c r="CL73" s="558" t="s">
        <v>896</v>
      </c>
      <c r="CM73" s="558" t="s">
        <v>896</v>
      </c>
      <c r="CN73" s="558" t="s">
        <v>896</v>
      </c>
      <c r="CO73" s="558" t="s">
        <v>896</v>
      </c>
      <c r="CP73" s="558" t="s">
        <v>896</v>
      </c>
      <c r="CQ73" s="558" t="s">
        <v>896</v>
      </c>
      <c r="CR73" s="544" t="s">
        <v>499</v>
      </c>
    </row>
    <row r="74" spans="1:96" s="559" customFormat="1" outlineLevel="1" x14ac:dyDescent="0.2">
      <c r="A74" s="559">
        <v>34439</v>
      </c>
      <c r="C74" s="560" t="s">
        <v>814</v>
      </c>
      <c r="F74" s="562"/>
      <c r="Q74" s="559" t="s">
        <v>896</v>
      </c>
      <c r="R74" s="559" t="s">
        <v>896</v>
      </c>
      <c r="S74" s="559" t="s">
        <v>896</v>
      </c>
      <c r="T74" s="559" t="s">
        <v>896</v>
      </c>
      <c r="U74" s="559" t="s">
        <v>896</v>
      </c>
      <c r="V74" s="558" t="s">
        <v>896</v>
      </c>
      <c r="W74" s="558" t="s">
        <v>896</v>
      </c>
      <c r="X74" s="558" t="s">
        <v>896</v>
      </c>
      <c r="Y74" s="558" t="s">
        <v>896</v>
      </c>
      <c r="Z74" s="558" t="s">
        <v>896</v>
      </c>
      <c r="AA74" s="558" t="s">
        <v>896</v>
      </c>
      <c r="AB74" s="558" t="s">
        <v>896</v>
      </c>
      <c r="AC74" s="558" t="s">
        <v>896</v>
      </c>
      <c r="AD74" s="558" t="s">
        <v>896</v>
      </c>
      <c r="AE74" s="558" t="s">
        <v>896</v>
      </c>
      <c r="AF74" s="558" t="s">
        <v>896</v>
      </c>
      <c r="AG74" s="558" t="s">
        <v>896</v>
      </c>
      <c r="AH74" s="558" t="s">
        <v>896</v>
      </c>
      <c r="AI74" s="558" t="s">
        <v>896</v>
      </c>
      <c r="AJ74" s="563" t="s">
        <v>896</v>
      </c>
      <c r="AK74" s="563" t="s">
        <v>896</v>
      </c>
      <c r="AL74" s="563" t="s">
        <v>896</v>
      </c>
      <c r="AM74" s="563" t="s">
        <v>896</v>
      </c>
      <c r="AN74" s="563" t="s">
        <v>896</v>
      </c>
      <c r="AO74" s="563" t="s">
        <v>896</v>
      </c>
      <c r="AP74" s="563" t="s">
        <v>896</v>
      </c>
      <c r="AQ74" s="563" t="s">
        <v>896</v>
      </c>
      <c r="AR74" s="563" t="s">
        <v>896</v>
      </c>
      <c r="AS74" s="563" t="s">
        <v>896</v>
      </c>
      <c r="AT74" s="563" t="s">
        <v>896</v>
      </c>
      <c r="AU74" s="563" t="s">
        <v>896</v>
      </c>
      <c r="AV74" s="563" t="s">
        <v>896</v>
      </c>
      <c r="AW74" s="563" t="s">
        <v>896</v>
      </c>
      <c r="AX74" s="563" t="s">
        <v>896</v>
      </c>
      <c r="AY74" s="563" t="s">
        <v>896</v>
      </c>
      <c r="AZ74" s="563" t="s">
        <v>896</v>
      </c>
      <c r="BA74" s="563" t="s">
        <v>896</v>
      </c>
      <c r="BB74" s="563" t="s">
        <v>896</v>
      </c>
      <c r="BC74" s="563" t="s">
        <v>896</v>
      </c>
      <c r="BD74" s="563" t="s">
        <v>896</v>
      </c>
      <c r="BE74" s="563" t="s">
        <v>896</v>
      </c>
      <c r="BF74" s="563" t="s">
        <v>896</v>
      </c>
      <c r="BG74" s="563" t="s">
        <v>896</v>
      </c>
      <c r="BH74" s="563" t="s">
        <v>896</v>
      </c>
      <c r="BI74" s="536"/>
      <c r="BK74" s="559" t="s">
        <v>896</v>
      </c>
      <c r="BL74" s="536"/>
      <c r="BS74" s="543" t="s">
        <v>896</v>
      </c>
      <c r="BT74" s="536"/>
      <c r="CA74" s="545">
        <v>0</v>
      </c>
      <c r="CB74" s="545">
        <v>0</v>
      </c>
      <c r="CC74" s="536"/>
      <c r="CD74" s="559">
        <v>0</v>
      </c>
      <c r="CK74" s="559" t="s">
        <v>896</v>
      </c>
      <c r="CL74" s="559" t="s">
        <v>896</v>
      </c>
      <c r="CM74" s="559" t="s">
        <v>896</v>
      </c>
      <c r="CN74" s="559" t="s">
        <v>896</v>
      </c>
      <c r="CO74" s="559" t="s">
        <v>896</v>
      </c>
      <c r="CP74" s="559" t="s">
        <v>896</v>
      </c>
      <c r="CQ74" s="558" t="s">
        <v>896</v>
      </c>
      <c r="CR74" s="544" t="s">
        <v>499</v>
      </c>
    </row>
    <row r="75" spans="1:96" s="559" customFormat="1" outlineLevel="1" x14ac:dyDescent="0.2">
      <c r="A75" s="559">
        <v>135020</v>
      </c>
      <c r="C75" s="560" t="s">
        <v>815</v>
      </c>
      <c r="F75" s="562"/>
      <c r="Q75" s="559" t="s">
        <v>896</v>
      </c>
      <c r="R75" s="559" t="s">
        <v>896</v>
      </c>
      <c r="S75" s="559" t="s">
        <v>896</v>
      </c>
      <c r="T75" s="559" t="s">
        <v>896</v>
      </c>
      <c r="U75" s="559" t="s">
        <v>896</v>
      </c>
      <c r="V75" s="559" t="s">
        <v>896</v>
      </c>
      <c r="W75" s="559" t="s">
        <v>896</v>
      </c>
      <c r="X75" s="559" t="s">
        <v>896</v>
      </c>
      <c r="Y75" s="559" t="s">
        <v>896</v>
      </c>
      <c r="Z75" s="558" t="s">
        <v>896</v>
      </c>
      <c r="AA75" s="558" t="s">
        <v>896</v>
      </c>
      <c r="AB75" s="558" t="s">
        <v>896</v>
      </c>
      <c r="AC75" s="558"/>
      <c r="AD75" s="558" t="s">
        <v>896</v>
      </c>
      <c r="AE75" s="558" t="s">
        <v>896</v>
      </c>
      <c r="AF75" s="558" t="s">
        <v>896</v>
      </c>
      <c r="AG75" s="558">
        <v>2</v>
      </c>
      <c r="AH75" s="558">
        <v>2</v>
      </c>
      <c r="AI75" s="558">
        <v>2</v>
      </c>
      <c r="AJ75" s="558">
        <v>3</v>
      </c>
      <c r="AK75" s="558">
        <v>6</v>
      </c>
      <c r="AL75" s="558">
        <v>2</v>
      </c>
      <c r="AM75" s="558">
        <v>2</v>
      </c>
      <c r="AN75" s="558">
        <v>2</v>
      </c>
      <c r="AO75" s="558">
        <v>3</v>
      </c>
      <c r="AP75" s="558">
        <v>3</v>
      </c>
      <c r="AQ75" s="558">
        <v>4</v>
      </c>
      <c r="AR75" s="558">
        <v>3</v>
      </c>
      <c r="AS75" s="558">
        <v>1</v>
      </c>
      <c r="AT75" s="558">
        <v>4</v>
      </c>
      <c r="AU75" s="558">
        <v>1</v>
      </c>
      <c r="AV75" s="558">
        <v>4</v>
      </c>
      <c r="AW75" s="558" t="s">
        <v>896</v>
      </c>
      <c r="AX75" s="558" t="s">
        <v>896</v>
      </c>
      <c r="AY75" s="558">
        <v>2</v>
      </c>
      <c r="AZ75" s="558">
        <v>3</v>
      </c>
      <c r="BA75" s="558" t="s">
        <v>896</v>
      </c>
      <c r="BB75" s="558" t="s">
        <v>896</v>
      </c>
      <c r="BC75" s="558" t="s">
        <v>896</v>
      </c>
      <c r="BD75" s="558" t="s">
        <v>896</v>
      </c>
      <c r="BE75" s="558">
        <v>1</v>
      </c>
      <c r="BF75" s="558">
        <v>2</v>
      </c>
      <c r="BG75" s="558" t="s">
        <v>896</v>
      </c>
      <c r="BH75" s="558" t="s">
        <v>896</v>
      </c>
      <c r="BI75" s="536"/>
      <c r="BJ75" s="559">
        <v>0</v>
      </c>
      <c r="BK75" s="559">
        <v>0</v>
      </c>
      <c r="BL75" s="536"/>
      <c r="BM75" s="559">
        <v>1</v>
      </c>
      <c r="BN75" s="559">
        <v>0</v>
      </c>
      <c r="BO75" s="559">
        <v>0</v>
      </c>
      <c r="BP75" s="559">
        <v>0</v>
      </c>
      <c r="BQ75" s="559">
        <v>0</v>
      </c>
      <c r="BR75" s="559">
        <v>0</v>
      </c>
      <c r="BS75" s="543">
        <v>4</v>
      </c>
      <c r="BT75" s="536"/>
      <c r="BU75" s="559">
        <v>0</v>
      </c>
      <c r="BV75" s="559">
        <v>0</v>
      </c>
      <c r="BW75" s="559">
        <v>0</v>
      </c>
      <c r="BX75" s="559">
        <v>0</v>
      </c>
      <c r="BY75" s="559">
        <v>0</v>
      </c>
      <c r="BZ75" s="559">
        <v>0</v>
      </c>
      <c r="CA75" s="545">
        <v>0</v>
      </c>
      <c r="CB75" s="545">
        <v>0</v>
      </c>
      <c r="CC75" s="536"/>
      <c r="CJ75" s="559">
        <v>2</v>
      </c>
      <c r="CK75" s="559" t="s">
        <v>896</v>
      </c>
      <c r="CL75" s="559" t="s">
        <v>896</v>
      </c>
      <c r="CM75" s="559" t="s">
        <v>896</v>
      </c>
      <c r="CN75" s="559" t="s">
        <v>896</v>
      </c>
      <c r="CO75" s="559" t="s">
        <v>896</v>
      </c>
      <c r="CP75" s="559" t="s">
        <v>896</v>
      </c>
      <c r="CQ75" s="559" t="s">
        <v>896</v>
      </c>
      <c r="CR75" s="544" t="s">
        <v>499</v>
      </c>
    </row>
    <row r="76" spans="1:96" s="559" customFormat="1" outlineLevel="1" x14ac:dyDescent="0.2">
      <c r="A76" s="559">
        <v>31054</v>
      </c>
      <c r="C76" s="560" t="s">
        <v>816</v>
      </c>
      <c r="E76" s="559">
        <v>11</v>
      </c>
      <c r="F76" s="562">
        <v>14</v>
      </c>
      <c r="G76" s="559">
        <v>12</v>
      </c>
      <c r="H76" s="559">
        <v>14</v>
      </c>
      <c r="I76" s="559">
        <v>7</v>
      </c>
      <c r="J76" s="559">
        <v>14</v>
      </c>
      <c r="K76" s="559">
        <v>16</v>
      </c>
      <c r="L76" s="559">
        <v>17</v>
      </c>
      <c r="M76" s="559">
        <v>13</v>
      </c>
      <c r="N76" s="559">
        <v>8</v>
      </c>
      <c r="O76" s="559">
        <v>11</v>
      </c>
      <c r="P76" s="559">
        <v>14</v>
      </c>
      <c r="Q76" s="559">
        <v>8</v>
      </c>
      <c r="R76" s="559">
        <v>11</v>
      </c>
      <c r="S76" s="559">
        <v>11</v>
      </c>
      <c r="T76" s="559">
        <v>9</v>
      </c>
      <c r="U76" s="559">
        <v>13</v>
      </c>
      <c r="V76" s="558">
        <v>6</v>
      </c>
      <c r="W76" s="558" t="s">
        <v>896</v>
      </c>
      <c r="X76" s="558">
        <v>6</v>
      </c>
      <c r="Y76" s="559">
        <v>17</v>
      </c>
      <c r="Z76" s="558">
        <v>8</v>
      </c>
      <c r="AA76" s="558">
        <v>13</v>
      </c>
      <c r="AB76" s="558">
        <v>4</v>
      </c>
      <c r="AC76" s="558">
        <v>9</v>
      </c>
      <c r="AD76" s="558">
        <v>11</v>
      </c>
      <c r="AE76" s="558">
        <v>8</v>
      </c>
      <c r="AF76" s="558">
        <v>11</v>
      </c>
      <c r="AG76" s="558">
        <v>13</v>
      </c>
      <c r="AH76" s="558">
        <v>7</v>
      </c>
      <c r="AI76" s="558">
        <v>6</v>
      </c>
      <c r="AJ76" s="558">
        <v>11</v>
      </c>
      <c r="AK76" s="558" t="s">
        <v>896</v>
      </c>
      <c r="AL76" s="558" t="s">
        <v>896</v>
      </c>
      <c r="AM76" s="558">
        <v>7</v>
      </c>
      <c r="AN76" s="558">
        <v>13</v>
      </c>
      <c r="AO76" s="558">
        <v>7</v>
      </c>
      <c r="AP76" s="558">
        <v>9</v>
      </c>
      <c r="AQ76" s="558">
        <v>3</v>
      </c>
      <c r="AR76" s="558">
        <v>1</v>
      </c>
      <c r="AS76" s="558">
        <v>12</v>
      </c>
      <c r="AT76" s="558">
        <v>4</v>
      </c>
      <c r="AU76" s="558">
        <v>9</v>
      </c>
      <c r="AV76" s="558">
        <v>8</v>
      </c>
      <c r="AW76" s="558">
        <v>9</v>
      </c>
      <c r="AX76" s="558">
        <v>3</v>
      </c>
      <c r="AY76" s="558">
        <v>8</v>
      </c>
      <c r="AZ76" s="558">
        <v>5</v>
      </c>
      <c r="BA76" s="558">
        <v>5</v>
      </c>
      <c r="BB76" s="558">
        <v>4</v>
      </c>
      <c r="BC76" s="558">
        <v>3</v>
      </c>
      <c r="BD76" s="558">
        <v>7</v>
      </c>
      <c r="BE76" s="558">
        <v>5</v>
      </c>
      <c r="BF76" s="558">
        <v>4</v>
      </c>
      <c r="BG76" s="558">
        <v>14</v>
      </c>
      <c r="BH76" s="558">
        <v>7</v>
      </c>
      <c r="BI76" s="536"/>
      <c r="BJ76" s="559">
        <v>7</v>
      </c>
      <c r="BK76" s="559">
        <v>0</v>
      </c>
      <c r="BL76" s="536"/>
      <c r="BM76" s="559">
        <v>4</v>
      </c>
      <c r="BN76" s="559">
        <v>0</v>
      </c>
      <c r="BO76" s="559">
        <v>0</v>
      </c>
      <c r="BP76" s="559">
        <v>4</v>
      </c>
      <c r="BQ76" s="559">
        <v>4</v>
      </c>
      <c r="BR76" s="559">
        <v>4</v>
      </c>
      <c r="BS76" s="543">
        <v>56</v>
      </c>
      <c r="BT76" s="536"/>
      <c r="BU76" s="559">
        <v>4</v>
      </c>
      <c r="BV76" s="559">
        <v>4</v>
      </c>
      <c r="BW76" s="559">
        <v>4</v>
      </c>
      <c r="BX76" s="559">
        <v>4</v>
      </c>
      <c r="BY76" s="559">
        <v>8</v>
      </c>
      <c r="BZ76" s="559">
        <v>4</v>
      </c>
      <c r="CA76" s="545">
        <v>28</v>
      </c>
      <c r="CB76" s="545">
        <v>56</v>
      </c>
      <c r="CC76" s="536"/>
      <c r="CD76" s="559">
        <v>3</v>
      </c>
      <c r="CE76" s="559">
        <v>7</v>
      </c>
      <c r="CG76" s="559">
        <v>7</v>
      </c>
      <c r="CH76" s="559">
        <v>7</v>
      </c>
      <c r="CI76" s="559">
        <v>7</v>
      </c>
      <c r="CJ76" s="559">
        <v>4</v>
      </c>
      <c r="CK76" s="559">
        <v>5</v>
      </c>
      <c r="CL76" s="559">
        <v>4</v>
      </c>
      <c r="CM76" s="559">
        <v>6</v>
      </c>
      <c r="CN76" s="559">
        <v>5</v>
      </c>
      <c r="CO76" s="559">
        <v>8</v>
      </c>
      <c r="CP76" s="559">
        <v>7</v>
      </c>
      <c r="CQ76" s="558">
        <v>2</v>
      </c>
      <c r="CR76" s="544" t="s">
        <v>817</v>
      </c>
    </row>
    <row r="77" spans="1:96" s="559" customFormat="1" outlineLevel="1" x14ac:dyDescent="0.2">
      <c r="A77" s="559">
        <v>31799</v>
      </c>
      <c r="C77" s="560" t="s">
        <v>818</v>
      </c>
      <c r="E77" s="559">
        <v>1</v>
      </c>
      <c r="F77" s="562">
        <v>0</v>
      </c>
      <c r="G77" s="559">
        <v>1</v>
      </c>
      <c r="O77" s="559">
        <v>1</v>
      </c>
      <c r="P77" s="559">
        <v>1</v>
      </c>
      <c r="Q77" s="559" t="s">
        <v>896</v>
      </c>
      <c r="R77" s="559" t="s">
        <v>896</v>
      </c>
      <c r="S77" s="559" t="s">
        <v>896</v>
      </c>
      <c r="T77" s="559" t="s">
        <v>896</v>
      </c>
      <c r="U77" s="559">
        <v>2</v>
      </c>
      <c r="V77" s="558">
        <v>1</v>
      </c>
      <c r="W77" s="558">
        <v>1</v>
      </c>
      <c r="X77" s="558" t="s">
        <v>896</v>
      </c>
      <c r="Y77" s="558" t="s">
        <v>896</v>
      </c>
      <c r="Z77" s="558" t="s">
        <v>896</v>
      </c>
      <c r="AA77" s="558" t="s">
        <v>896</v>
      </c>
      <c r="AB77" s="558" t="s">
        <v>896</v>
      </c>
      <c r="AC77" s="558" t="s">
        <v>896</v>
      </c>
      <c r="AD77" s="558">
        <v>1</v>
      </c>
      <c r="AE77" s="558" t="s">
        <v>896</v>
      </c>
      <c r="AF77" s="558">
        <v>1</v>
      </c>
      <c r="AG77" s="558">
        <v>1</v>
      </c>
      <c r="AH77" s="558" t="s">
        <v>896</v>
      </c>
      <c r="AI77" s="558" t="s">
        <v>896</v>
      </c>
      <c r="AJ77" s="563" t="s">
        <v>896</v>
      </c>
      <c r="AK77" s="563" t="s">
        <v>896</v>
      </c>
      <c r="AL77" s="563" t="s">
        <v>896</v>
      </c>
      <c r="AM77" s="563" t="s">
        <v>896</v>
      </c>
      <c r="AN77" s="563" t="s">
        <v>896</v>
      </c>
      <c r="AO77" s="563">
        <v>2</v>
      </c>
      <c r="AP77" s="563">
        <v>1</v>
      </c>
      <c r="AQ77" s="563" t="s">
        <v>896</v>
      </c>
      <c r="AR77" s="563">
        <v>1</v>
      </c>
      <c r="AS77" s="563" t="s">
        <v>896</v>
      </c>
      <c r="AT77" s="563">
        <v>1</v>
      </c>
      <c r="AU77" s="563" t="s">
        <v>896</v>
      </c>
      <c r="AV77" s="563" t="s">
        <v>896</v>
      </c>
      <c r="AW77" s="563" t="s">
        <v>896</v>
      </c>
      <c r="AX77" s="563" t="s">
        <v>896</v>
      </c>
      <c r="AY77" s="563">
        <v>2</v>
      </c>
      <c r="AZ77" s="563">
        <v>2</v>
      </c>
      <c r="BA77" s="563">
        <v>1</v>
      </c>
      <c r="BB77" s="563">
        <v>1</v>
      </c>
      <c r="BC77" s="563" t="s">
        <v>896</v>
      </c>
      <c r="BD77" s="563" t="s">
        <v>896</v>
      </c>
      <c r="BE77" s="563" t="s">
        <v>896</v>
      </c>
      <c r="BF77" s="563" t="s">
        <v>896</v>
      </c>
      <c r="BG77" s="563">
        <v>1</v>
      </c>
      <c r="BH77" s="563" t="s">
        <v>896</v>
      </c>
      <c r="BI77" s="536"/>
      <c r="BJ77" s="559">
        <v>0</v>
      </c>
      <c r="BK77" s="559">
        <v>0</v>
      </c>
      <c r="BL77" s="536"/>
      <c r="BM77" s="559">
        <v>0</v>
      </c>
      <c r="BN77" s="559">
        <v>0</v>
      </c>
      <c r="BO77" s="559">
        <v>0</v>
      </c>
      <c r="BP77" s="559">
        <v>0</v>
      </c>
      <c r="BQ77" s="559">
        <v>0</v>
      </c>
      <c r="BR77" s="559">
        <v>0</v>
      </c>
      <c r="BS77" s="543">
        <v>1</v>
      </c>
      <c r="BT77" s="536"/>
      <c r="BU77" s="559">
        <v>0</v>
      </c>
      <c r="BV77" s="559">
        <v>0</v>
      </c>
      <c r="BW77" s="559">
        <v>0</v>
      </c>
      <c r="BX77" s="559">
        <v>0</v>
      </c>
      <c r="BY77" s="559">
        <v>0</v>
      </c>
      <c r="BZ77" s="559">
        <v>0</v>
      </c>
      <c r="CA77" s="545">
        <v>0</v>
      </c>
      <c r="CB77" s="545">
        <v>0</v>
      </c>
      <c r="CC77" s="536"/>
      <c r="CD77" s="559">
        <v>1</v>
      </c>
      <c r="CE77" s="559">
        <v>0</v>
      </c>
      <c r="CJ77" s="559">
        <v>1</v>
      </c>
      <c r="CK77" s="559">
        <v>1</v>
      </c>
      <c r="CL77" s="559" t="s">
        <v>896</v>
      </c>
      <c r="CM77" s="559" t="s">
        <v>896</v>
      </c>
      <c r="CN77" s="559" t="s">
        <v>896</v>
      </c>
      <c r="CO77" s="559" t="s">
        <v>896</v>
      </c>
      <c r="CP77" s="559">
        <v>2</v>
      </c>
      <c r="CQ77" s="558">
        <v>1</v>
      </c>
      <c r="CR77" s="544" t="s">
        <v>499</v>
      </c>
    </row>
    <row r="78" spans="1:96" s="559" customFormat="1" outlineLevel="1" x14ac:dyDescent="0.2">
      <c r="A78" s="559">
        <v>6197</v>
      </c>
      <c r="C78" s="560" t="s">
        <v>819</v>
      </c>
      <c r="E78" s="559">
        <v>8</v>
      </c>
      <c r="F78" s="562">
        <v>12</v>
      </c>
      <c r="G78" s="559">
        <v>10</v>
      </c>
      <c r="H78" s="559">
        <v>8</v>
      </c>
      <c r="I78" s="559">
        <v>18</v>
      </c>
      <c r="J78" s="559">
        <v>17</v>
      </c>
      <c r="K78" s="559">
        <v>11</v>
      </c>
      <c r="L78" s="559">
        <v>11</v>
      </c>
      <c r="M78" s="559">
        <v>9</v>
      </c>
      <c r="N78" s="559">
        <v>12</v>
      </c>
      <c r="O78" s="559">
        <v>11</v>
      </c>
      <c r="P78" s="559">
        <v>1</v>
      </c>
      <c r="Q78" s="559">
        <v>1</v>
      </c>
      <c r="R78" s="559" t="s">
        <v>896</v>
      </c>
      <c r="S78" s="559" t="s">
        <v>896</v>
      </c>
      <c r="T78" s="559" t="s">
        <v>896</v>
      </c>
      <c r="U78" s="559" t="s">
        <v>896</v>
      </c>
      <c r="V78" s="559" t="s">
        <v>896</v>
      </c>
      <c r="W78" s="559" t="s">
        <v>896</v>
      </c>
      <c r="X78" s="559" t="s">
        <v>896</v>
      </c>
      <c r="Y78" s="559" t="s">
        <v>896</v>
      </c>
      <c r="Z78" s="559" t="s">
        <v>896</v>
      </c>
      <c r="AA78" s="559" t="s">
        <v>896</v>
      </c>
      <c r="AB78" s="559" t="s">
        <v>896</v>
      </c>
      <c r="AC78" s="559" t="s">
        <v>896</v>
      </c>
      <c r="AD78" s="559" t="s">
        <v>896</v>
      </c>
      <c r="AE78" s="559">
        <v>9</v>
      </c>
      <c r="AF78" s="559">
        <v>10</v>
      </c>
      <c r="AG78" s="559">
        <v>10</v>
      </c>
      <c r="AH78" s="559">
        <v>3</v>
      </c>
      <c r="AI78" s="559">
        <v>6</v>
      </c>
      <c r="AJ78" s="559">
        <v>13</v>
      </c>
      <c r="AK78" s="559">
        <v>9</v>
      </c>
      <c r="AL78" s="559">
        <v>19</v>
      </c>
      <c r="AM78" s="559">
        <v>15</v>
      </c>
      <c r="AN78" s="559">
        <v>7</v>
      </c>
      <c r="AO78" s="559">
        <v>25</v>
      </c>
      <c r="AP78" s="559">
        <v>8</v>
      </c>
      <c r="AQ78" s="559">
        <v>10</v>
      </c>
      <c r="AR78" s="559">
        <v>23</v>
      </c>
      <c r="AS78" s="559">
        <v>10</v>
      </c>
      <c r="AT78" s="559">
        <v>19</v>
      </c>
      <c r="AU78" s="559">
        <v>12</v>
      </c>
      <c r="AV78" s="559">
        <v>14</v>
      </c>
      <c r="AW78" s="559">
        <v>19</v>
      </c>
      <c r="AX78" s="559">
        <v>15</v>
      </c>
      <c r="AY78" s="559">
        <v>20</v>
      </c>
      <c r="AZ78" s="559">
        <v>17</v>
      </c>
      <c r="BA78" s="559">
        <v>14</v>
      </c>
      <c r="BB78" s="559">
        <v>13</v>
      </c>
      <c r="BC78" s="559">
        <v>13</v>
      </c>
      <c r="BD78" s="559">
        <v>23</v>
      </c>
      <c r="BE78" s="559">
        <v>15</v>
      </c>
      <c r="BF78" s="559">
        <v>18</v>
      </c>
      <c r="BG78" s="559">
        <v>21</v>
      </c>
      <c r="BH78" s="559">
        <v>21</v>
      </c>
      <c r="BI78" s="536"/>
      <c r="BJ78" s="559">
        <v>19</v>
      </c>
      <c r="BK78" s="559">
        <v>2</v>
      </c>
      <c r="BL78" s="536"/>
      <c r="BM78" s="559">
        <v>19</v>
      </c>
      <c r="BN78" s="559">
        <v>15</v>
      </c>
      <c r="BO78" s="559">
        <v>15</v>
      </c>
      <c r="BP78" s="559">
        <v>15</v>
      </c>
      <c r="BQ78" s="559">
        <v>15</v>
      </c>
      <c r="BR78" s="559">
        <v>15</v>
      </c>
      <c r="BS78" s="543">
        <v>205</v>
      </c>
      <c r="BT78" s="536"/>
      <c r="BU78" s="559">
        <v>17</v>
      </c>
      <c r="BV78" s="559">
        <v>17</v>
      </c>
      <c r="BW78" s="559">
        <v>17</v>
      </c>
      <c r="BX78" s="559">
        <v>17</v>
      </c>
      <c r="BY78" s="559">
        <v>17</v>
      </c>
      <c r="BZ78" s="559">
        <v>17</v>
      </c>
      <c r="CA78" s="545">
        <v>102</v>
      </c>
      <c r="CB78" s="545">
        <v>204</v>
      </c>
      <c r="CC78" s="536"/>
      <c r="CD78" s="559">
        <v>4</v>
      </c>
      <c r="CE78" s="559">
        <v>4</v>
      </c>
      <c r="CG78" s="559">
        <v>3</v>
      </c>
      <c r="CH78" s="559">
        <v>4</v>
      </c>
      <c r="CI78" s="559">
        <v>3</v>
      </c>
      <c r="CJ78" s="559">
        <v>3</v>
      </c>
      <c r="CK78" s="559">
        <v>1</v>
      </c>
      <c r="CL78" s="559">
        <v>1</v>
      </c>
      <c r="CM78" s="559" t="s">
        <v>896</v>
      </c>
      <c r="CN78" s="559" t="s">
        <v>896</v>
      </c>
      <c r="CO78" s="559" t="s">
        <v>896</v>
      </c>
      <c r="CP78" s="559" t="s">
        <v>896</v>
      </c>
      <c r="CQ78" s="559" t="s">
        <v>896</v>
      </c>
      <c r="CR78" s="544" t="s">
        <v>499</v>
      </c>
    </row>
    <row r="79" spans="1:96" s="566" customFormat="1" outlineLevel="1" x14ac:dyDescent="0.2">
      <c r="A79" s="566">
        <v>35527</v>
      </c>
      <c r="C79" s="600" t="s">
        <v>820</v>
      </c>
      <c r="F79" s="567">
        <v>2</v>
      </c>
      <c r="G79" s="566">
        <v>16</v>
      </c>
      <c r="H79" s="566">
        <v>19</v>
      </c>
      <c r="I79" s="566">
        <v>23</v>
      </c>
      <c r="J79" s="566">
        <v>19</v>
      </c>
      <c r="K79" s="566">
        <v>21</v>
      </c>
      <c r="L79" s="566">
        <v>14</v>
      </c>
      <c r="M79" s="566">
        <v>15</v>
      </c>
      <c r="N79" s="566">
        <v>20</v>
      </c>
      <c r="O79" s="566">
        <v>12</v>
      </c>
      <c r="P79" s="566">
        <v>20</v>
      </c>
      <c r="Q79" s="566">
        <v>15</v>
      </c>
      <c r="R79" s="566">
        <v>23</v>
      </c>
      <c r="S79" s="566">
        <v>12</v>
      </c>
      <c r="T79" s="566">
        <v>30</v>
      </c>
      <c r="U79" s="566">
        <v>19</v>
      </c>
      <c r="V79" s="566">
        <v>22</v>
      </c>
      <c r="W79" s="566">
        <v>20</v>
      </c>
      <c r="X79" s="566">
        <v>19</v>
      </c>
      <c r="Y79" s="566">
        <v>22</v>
      </c>
      <c r="Z79" s="566">
        <v>21</v>
      </c>
      <c r="AA79" s="566">
        <v>20</v>
      </c>
      <c r="AB79" s="566">
        <v>20</v>
      </c>
      <c r="AC79" s="566">
        <v>22</v>
      </c>
      <c r="AD79" s="566">
        <v>31</v>
      </c>
      <c r="AE79" s="566">
        <v>8</v>
      </c>
      <c r="AF79" s="566">
        <v>24</v>
      </c>
      <c r="AG79" s="566">
        <v>19</v>
      </c>
      <c r="AH79" s="566">
        <v>17</v>
      </c>
      <c r="AI79" s="566">
        <v>28</v>
      </c>
      <c r="AJ79" s="566">
        <v>14</v>
      </c>
      <c r="AK79" s="566">
        <v>21</v>
      </c>
      <c r="AL79" s="566">
        <v>30</v>
      </c>
      <c r="AM79" s="566">
        <v>22</v>
      </c>
      <c r="AN79" s="566">
        <v>25</v>
      </c>
      <c r="AO79" s="566">
        <v>26</v>
      </c>
      <c r="AP79" s="566">
        <v>30</v>
      </c>
      <c r="AQ79" s="566">
        <v>16</v>
      </c>
      <c r="AR79" s="566">
        <v>28</v>
      </c>
      <c r="AS79" s="566">
        <v>24</v>
      </c>
      <c r="AT79" s="566">
        <v>28</v>
      </c>
      <c r="AU79" s="566">
        <v>30</v>
      </c>
      <c r="AV79" s="566">
        <v>20</v>
      </c>
      <c r="AW79" s="566">
        <v>28</v>
      </c>
      <c r="AX79" s="566">
        <v>25</v>
      </c>
      <c r="AY79" s="566">
        <v>19</v>
      </c>
      <c r="AZ79" s="566">
        <v>29</v>
      </c>
      <c r="BA79" s="566">
        <v>28</v>
      </c>
      <c r="BB79" s="566">
        <v>33</v>
      </c>
      <c r="BC79" s="566">
        <v>25</v>
      </c>
      <c r="BD79" s="566">
        <v>30</v>
      </c>
      <c r="BE79" s="566">
        <v>18</v>
      </c>
      <c r="BF79" s="566">
        <v>31</v>
      </c>
      <c r="BG79" s="566">
        <v>21</v>
      </c>
      <c r="BH79" s="566">
        <v>24</v>
      </c>
      <c r="BI79" s="536"/>
      <c r="BJ79" s="566">
        <v>25</v>
      </c>
      <c r="BK79" s="566">
        <v>-1</v>
      </c>
      <c r="BL79" s="536"/>
      <c r="BM79" s="566">
        <v>27</v>
      </c>
      <c r="BN79" s="566">
        <v>27</v>
      </c>
      <c r="BO79" s="566">
        <v>27</v>
      </c>
      <c r="BP79" s="566">
        <v>27</v>
      </c>
      <c r="BQ79" s="566">
        <v>27</v>
      </c>
      <c r="BR79" s="566">
        <v>27</v>
      </c>
      <c r="BS79" s="566">
        <v>311</v>
      </c>
      <c r="BT79" s="536"/>
      <c r="BU79" s="566">
        <v>27</v>
      </c>
      <c r="BV79" s="566">
        <v>27</v>
      </c>
      <c r="BW79" s="566">
        <v>27</v>
      </c>
      <c r="BX79" s="566">
        <v>25</v>
      </c>
      <c r="BY79" s="566">
        <v>25</v>
      </c>
      <c r="BZ79" s="566">
        <v>25</v>
      </c>
      <c r="CA79" s="566">
        <v>156</v>
      </c>
      <c r="CB79" s="566">
        <v>312</v>
      </c>
      <c r="CC79" s="536"/>
      <c r="CD79" s="566">
        <v>8</v>
      </c>
      <c r="CE79" s="566">
        <v>7</v>
      </c>
      <c r="CG79" s="566">
        <v>8</v>
      </c>
      <c r="CH79" s="566">
        <v>6</v>
      </c>
      <c r="CI79" s="566">
        <v>6</v>
      </c>
      <c r="CJ79" s="566">
        <v>5</v>
      </c>
      <c r="CK79" s="566">
        <v>8</v>
      </c>
      <c r="CL79" s="566">
        <v>6</v>
      </c>
      <c r="CM79" s="566">
        <v>10</v>
      </c>
      <c r="CN79" s="566">
        <v>5</v>
      </c>
      <c r="CO79" s="566">
        <v>10</v>
      </c>
      <c r="CP79" s="566">
        <v>9</v>
      </c>
      <c r="CQ79" s="566">
        <v>15</v>
      </c>
      <c r="CR79" s="544" t="s">
        <v>499</v>
      </c>
    </row>
    <row r="80" spans="1:96" s="559" customFormat="1" outlineLevel="1" x14ac:dyDescent="0.2">
      <c r="A80" s="549">
        <v>37903</v>
      </c>
      <c r="B80" s="549"/>
      <c r="C80" s="550" t="s">
        <v>821</v>
      </c>
      <c r="F80" s="562">
        <v>1</v>
      </c>
      <c r="G80" s="559">
        <v>2</v>
      </c>
      <c r="K80" s="559">
        <v>1</v>
      </c>
      <c r="Q80" s="559">
        <v>1</v>
      </c>
      <c r="R80" s="559">
        <v>1</v>
      </c>
      <c r="S80" s="559" t="s">
        <v>896</v>
      </c>
      <c r="T80" s="559" t="s">
        <v>896</v>
      </c>
      <c r="U80" s="559" t="s">
        <v>896</v>
      </c>
      <c r="V80" s="559" t="s">
        <v>896</v>
      </c>
      <c r="W80" s="559" t="s">
        <v>896</v>
      </c>
      <c r="X80" s="559" t="s">
        <v>896</v>
      </c>
      <c r="Y80" s="559" t="s">
        <v>896</v>
      </c>
      <c r="Z80" s="559" t="s">
        <v>896</v>
      </c>
      <c r="AA80" s="559">
        <v>1</v>
      </c>
      <c r="AB80" s="559" t="s">
        <v>896</v>
      </c>
      <c r="AC80" s="559" t="s">
        <v>896</v>
      </c>
      <c r="AD80" s="559" t="s">
        <v>896</v>
      </c>
      <c r="AE80" s="559">
        <v>1</v>
      </c>
      <c r="AF80" s="559">
        <v>1</v>
      </c>
      <c r="AG80" s="559" t="s">
        <v>896</v>
      </c>
      <c r="AH80" s="559" t="s">
        <v>896</v>
      </c>
      <c r="AI80" s="559" t="s">
        <v>896</v>
      </c>
      <c r="AJ80" s="561" t="s">
        <v>896</v>
      </c>
      <c r="AK80" s="561" t="s">
        <v>896</v>
      </c>
      <c r="AL80" s="561">
        <v>2</v>
      </c>
      <c r="AM80" s="561">
        <v>3</v>
      </c>
      <c r="AN80" s="561" t="s">
        <v>896</v>
      </c>
      <c r="AO80" s="561" t="s">
        <v>896</v>
      </c>
      <c r="AP80" s="561" t="s">
        <v>896</v>
      </c>
      <c r="AQ80" s="561" t="s">
        <v>896</v>
      </c>
      <c r="AR80" s="561">
        <v>3</v>
      </c>
      <c r="AS80" s="561" t="s">
        <v>896</v>
      </c>
      <c r="AT80" s="561">
        <v>1</v>
      </c>
      <c r="AU80" s="561" t="s">
        <v>896</v>
      </c>
      <c r="AV80" s="561">
        <v>1</v>
      </c>
      <c r="AW80" s="561" t="s">
        <v>896</v>
      </c>
      <c r="AX80" s="561" t="s">
        <v>896</v>
      </c>
      <c r="AY80" s="561" t="s">
        <v>896</v>
      </c>
      <c r="AZ80" s="561" t="s">
        <v>896</v>
      </c>
      <c r="BA80" s="561" t="s">
        <v>896</v>
      </c>
      <c r="BB80" s="561" t="s">
        <v>896</v>
      </c>
      <c r="BC80" s="561">
        <v>3</v>
      </c>
      <c r="BD80" s="561" t="s">
        <v>896</v>
      </c>
      <c r="BE80" s="561" t="s">
        <v>896</v>
      </c>
      <c r="BF80" s="561" t="s">
        <v>896</v>
      </c>
      <c r="BG80" s="561" t="s">
        <v>896</v>
      </c>
      <c r="BH80" s="561" t="s">
        <v>896</v>
      </c>
      <c r="BI80" s="536"/>
      <c r="BJ80" s="559">
        <v>0</v>
      </c>
      <c r="BK80" s="559">
        <v>0</v>
      </c>
      <c r="BL80" s="536"/>
      <c r="BM80" s="559">
        <v>0</v>
      </c>
      <c r="BN80" s="559">
        <v>0</v>
      </c>
      <c r="BO80" s="559">
        <v>0</v>
      </c>
      <c r="BP80" s="559">
        <v>0</v>
      </c>
      <c r="BQ80" s="559">
        <v>0</v>
      </c>
      <c r="BR80" s="559">
        <v>0</v>
      </c>
      <c r="BS80" s="559">
        <v>3</v>
      </c>
      <c r="BT80" s="536"/>
      <c r="BU80" s="559">
        <v>0</v>
      </c>
      <c r="BV80" s="559">
        <v>0</v>
      </c>
      <c r="BW80" s="559">
        <v>0</v>
      </c>
      <c r="BX80" s="559">
        <v>0</v>
      </c>
      <c r="BY80" s="559">
        <v>0</v>
      </c>
      <c r="BZ80" s="559">
        <v>0</v>
      </c>
      <c r="CA80" s="545">
        <v>0</v>
      </c>
      <c r="CB80" s="545">
        <v>0</v>
      </c>
      <c r="CC80" s="536"/>
      <c r="CK80" s="559" t="s">
        <v>896</v>
      </c>
      <c r="CL80" s="559">
        <v>1</v>
      </c>
      <c r="CM80" s="559">
        <v>1</v>
      </c>
      <c r="CN80" s="559" t="s">
        <v>896</v>
      </c>
      <c r="CO80" s="559" t="s">
        <v>896</v>
      </c>
      <c r="CP80" s="559" t="s">
        <v>896</v>
      </c>
      <c r="CQ80" s="559" t="s">
        <v>896</v>
      </c>
      <c r="CR80" s="544" t="s">
        <v>499</v>
      </c>
    </row>
    <row r="81" spans="1:96" s="566" customFormat="1" outlineLevel="1" x14ac:dyDescent="0.2">
      <c r="A81" s="566">
        <v>42903</v>
      </c>
      <c r="C81" s="600" t="s">
        <v>822</v>
      </c>
      <c r="F81" s="567"/>
      <c r="J81" s="566">
        <v>1</v>
      </c>
      <c r="K81" s="566">
        <v>10</v>
      </c>
      <c r="L81" s="566">
        <v>18</v>
      </c>
      <c r="M81" s="566">
        <v>18</v>
      </c>
      <c r="N81" s="566">
        <v>15</v>
      </c>
      <c r="O81" s="566">
        <v>17</v>
      </c>
      <c r="P81" s="566">
        <v>24</v>
      </c>
      <c r="Q81" s="566">
        <v>18</v>
      </c>
      <c r="R81" s="566">
        <v>21</v>
      </c>
      <c r="S81" s="566">
        <v>27</v>
      </c>
      <c r="T81" s="566">
        <v>20</v>
      </c>
      <c r="U81" s="566">
        <v>24</v>
      </c>
      <c r="V81" s="566">
        <v>27</v>
      </c>
      <c r="W81" s="566">
        <v>15</v>
      </c>
      <c r="X81" s="566">
        <v>24</v>
      </c>
      <c r="Y81" s="566">
        <v>30</v>
      </c>
      <c r="Z81" s="566">
        <v>27</v>
      </c>
      <c r="AA81" s="566">
        <v>29</v>
      </c>
      <c r="AB81" s="566">
        <v>23</v>
      </c>
      <c r="AC81" s="566">
        <v>16</v>
      </c>
      <c r="AD81" s="566">
        <v>30</v>
      </c>
      <c r="AE81" s="566">
        <v>24</v>
      </c>
      <c r="AF81" s="566">
        <v>30</v>
      </c>
      <c r="AG81" s="566">
        <v>30</v>
      </c>
      <c r="AH81" s="566">
        <v>26</v>
      </c>
      <c r="AI81" s="566">
        <v>21</v>
      </c>
      <c r="AJ81" s="566">
        <v>27</v>
      </c>
      <c r="AK81" s="566">
        <v>23</v>
      </c>
      <c r="AL81" s="566">
        <v>15</v>
      </c>
      <c r="AM81" s="566">
        <v>24</v>
      </c>
      <c r="AN81" s="566">
        <v>25</v>
      </c>
      <c r="AO81" s="566">
        <v>29</v>
      </c>
      <c r="AP81" s="566">
        <v>30</v>
      </c>
      <c r="AQ81" s="566">
        <v>35</v>
      </c>
      <c r="AR81" s="566">
        <v>33</v>
      </c>
      <c r="AS81" s="566">
        <v>29</v>
      </c>
      <c r="AT81" s="566">
        <v>27</v>
      </c>
      <c r="AU81" s="566">
        <v>24</v>
      </c>
      <c r="AV81" s="566">
        <v>24</v>
      </c>
      <c r="AW81" s="566">
        <v>34</v>
      </c>
      <c r="AX81" s="566">
        <v>28</v>
      </c>
      <c r="AY81" s="566">
        <v>31</v>
      </c>
      <c r="AZ81" s="566">
        <v>23</v>
      </c>
      <c r="BA81" s="566">
        <v>5</v>
      </c>
      <c r="BB81" s="566">
        <v>1</v>
      </c>
      <c r="BC81" s="566" t="s">
        <v>896</v>
      </c>
      <c r="BD81" s="566" t="s">
        <v>896</v>
      </c>
      <c r="BE81" s="566" t="s">
        <v>896</v>
      </c>
      <c r="BF81" s="566" t="s">
        <v>896</v>
      </c>
      <c r="BG81" s="566" t="s">
        <v>896</v>
      </c>
      <c r="BH81" s="566" t="s">
        <v>896</v>
      </c>
      <c r="BI81" s="536"/>
      <c r="BJ81" s="566">
        <v>0</v>
      </c>
      <c r="BK81" s="566">
        <v>0</v>
      </c>
      <c r="BL81" s="536"/>
      <c r="BM81" s="566">
        <v>0</v>
      </c>
      <c r="BN81" s="566">
        <v>0</v>
      </c>
      <c r="BO81" s="566">
        <v>0</v>
      </c>
      <c r="BP81" s="566">
        <v>0</v>
      </c>
      <c r="BQ81" s="566">
        <v>0</v>
      </c>
      <c r="BR81" s="566">
        <v>0</v>
      </c>
      <c r="BS81" s="566">
        <v>0</v>
      </c>
      <c r="BT81" s="536"/>
      <c r="BU81" s="566">
        <v>0</v>
      </c>
      <c r="BV81" s="566">
        <v>0</v>
      </c>
      <c r="BW81" s="566">
        <v>0</v>
      </c>
      <c r="BX81" s="566">
        <v>0</v>
      </c>
      <c r="BY81" s="566">
        <v>0</v>
      </c>
      <c r="BZ81" s="566">
        <v>0</v>
      </c>
      <c r="CA81" s="566">
        <v>0</v>
      </c>
      <c r="CB81" s="566">
        <v>0</v>
      </c>
      <c r="CC81" s="536"/>
      <c r="CG81" s="566">
        <v>7</v>
      </c>
      <c r="CH81" s="566">
        <v>10</v>
      </c>
      <c r="CI81" s="566">
        <v>8</v>
      </c>
      <c r="CJ81" s="566">
        <v>5</v>
      </c>
      <c r="CK81" s="566">
        <v>11</v>
      </c>
      <c r="CL81" s="566">
        <v>7</v>
      </c>
      <c r="CM81" s="566">
        <v>8</v>
      </c>
      <c r="CN81" s="566">
        <v>10</v>
      </c>
      <c r="CO81" s="566">
        <v>7</v>
      </c>
      <c r="CP81" s="566">
        <v>9</v>
      </c>
      <c r="CQ81" s="566">
        <v>14</v>
      </c>
      <c r="CR81" s="544" t="s">
        <v>499</v>
      </c>
    </row>
    <row r="82" spans="1:96" s="566" customFormat="1" outlineLevel="1" x14ac:dyDescent="0.2">
      <c r="A82" s="566">
        <v>43836</v>
      </c>
      <c r="C82" s="600" t="s">
        <v>823</v>
      </c>
      <c r="F82" s="567"/>
      <c r="V82" s="566">
        <v>1</v>
      </c>
      <c r="W82" s="566" t="s">
        <v>896</v>
      </c>
      <c r="X82" s="566">
        <v>2</v>
      </c>
      <c r="Y82" s="566" t="s">
        <v>896</v>
      </c>
      <c r="Z82" s="566" t="s">
        <v>896</v>
      </c>
      <c r="AA82" s="566">
        <v>1</v>
      </c>
      <c r="AB82" s="566" t="s">
        <v>896</v>
      </c>
      <c r="AC82" s="566" t="s">
        <v>896</v>
      </c>
      <c r="AD82" s="566">
        <v>1</v>
      </c>
      <c r="AE82" s="566" t="s">
        <v>896</v>
      </c>
      <c r="AF82" s="566">
        <v>4</v>
      </c>
      <c r="AG82" s="566">
        <v>2</v>
      </c>
      <c r="AH82" s="566">
        <v>1</v>
      </c>
      <c r="AI82" s="566">
        <v>3</v>
      </c>
      <c r="AJ82" s="608" t="s">
        <v>896</v>
      </c>
      <c r="AK82" s="608" t="s">
        <v>896</v>
      </c>
      <c r="AL82" s="608" t="s">
        <v>896</v>
      </c>
      <c r="AM82" s="608" t="s">
        <v>896</v>
      </c>
      <c r="AN82" s="608">
        <v>1</v>
      </c>
      <c r="AO82" s="608" t="s">
        <v>896</v>
      </c>
      <c r="AP82" s="608">
        <v>2</v>
      </c>
      <c r="AQ82" s="608" t="s">
        <v>896</v>
      </c>
      <c r="AR82" s="608" t="s">
        <v>896</v>
      </c>
      <c r="AS82" s="608">
        <v>2</v>
      </c>
      <c r="AT82" s="608">
        <v>4</v>
      </c>
      <c r="AU82" s="608" t="s">
        <v>896</v>
      </c>
      <c r="AV82" s="608" t="s">
        <v>896</v>
      </c>
      <c r="AW82" s="608">
        <v>1</v>
      </c>
      <c r="AX82" s="608">
        <v>1</v>
      </c>
      <c r="AY82" s="608">
        <v>2</v>
      </c>
      <c r="AZ82" s="608">
        <v>1</v>
      </c>
      <c r="BA82" s="608">
        <v>1</v>
      </c>
      <c r="BB82" s="608">
        <v>1</v>
      </c>
      <c r="BC82" s="608">
        <v>1</v>
      </c>
      <c r="BD82" s="608">
        <v>3</v>
      </c>
      <c r="BE82" s="608">
        <v>2</v>
      </c>
      <c r="BF82" s="608">
        <v>1</v>
      </c>
      <c r="BG82" s="608">
        <v>1</v>
      </c>
      <c r="BH82" s="608">
        <v>1</v>
      </c>
      <c r="BI82" s="536"/>
      <c r="BJ82" s="566">
        <v>0</v>
      </c>
      <c r="BK82" s="566">
        <v>1</v>
      </c>
      <c r="BL82" s="536"/>
      <c r="BM82" s="566">
        <v>0</v>
      </c>
      <c r="BN82" s="566">
        <v>2</v>
      </c>
      <c r="BO82" s="566">
        <v>2</v>
      </c>
      <c r="BP82" s="566">
        <v>2</v>
      </c>
      <c r="BQ82" s="566">
        <v>2</v>
      </c>
      <c r="BR82" s="566">
        <v>2</v>
      </c>
      <c r="BS82" s="566">
        <v>19</v>
      </c>
      <c r="BT82" s="536"/>
      <c r="BU82" s="566">
        <v>0</v>
      </c>
      <c r="BV82" s="566">
        <v>0</v>
      </c>
      <c r="BW82" s="566">
        <v>0</v>
      </c>
      <c r="BX82" s="566">
        <v>0</v>
      </c>
      <c r="BY82" s="566">
        <v>0</v>
      </c>
      <c r="BZ82" s="566">
        <v>0</v>
      </c>
      <c r="CA82" s="566">
        <v>0</v>
      </c>
      <c r="CB82" s="566">
        <v>0</v>
      </c>
      <c r="CC82" s="536"/>
      <c r="CN82" s="566" t="s">
        <v>896</v>
      </c>
      <c r="CO82" s="566" t="s">
        <v>896</v>
      </c>
      <c r="CP82" s="566" t="s">
        <v>896</v>
      </c>
      <c r="CQ82" s="566">
        <v>1</v>
      </c>
      <c r="CR82" s="544" t="s">
        <v>824</v>
      </c>
    </row>
    <row r="83" spans="1:96" s="610" customFormat="1" ht="15.75" outlineLevel="1" thickBot="1" x14ac:dyDescent="0.25">
      <c r="A83" s="609"/>
      <c r="C83" s="611" t="s">
        <v>825</v>
      </c>
      <c r="F83" s="612"/>
      <c r="AJ83" s="613"/>
      <c r="AK83" s="613"/>
      <c r="AL83" s="613"/>
      <c r="AM83" s="613"/>
      <c r="AN83" s="613"/>
      <c r="AO83" s="613"/>
      <c r="AP83" s="613"/>
      <c r="AQ83" s="613"/>
      <c r="AR83" s="613"/>
      <c r="AS83" s="613"/>
      <c r="AT83" s="613"/>
      <c r="AU83" s="613"/>
      <c r="AV83" s="613"/>
      <c r="AW83" s="613"/>
      <c r="AX83" s="613"/>
      <c r="AY83" s="613"/>
      <c r="AZ83" s="613"/>
      <c r="BA83" s="613"/>
      <c r="BB83" s="613"/>
      <c r="BC83" s="613"/>
      <c r="BD83" s="613"/>
      <c r="BE83" s="613"/>
      <c r="BF83" s="613"/>
      <c r="BG83" s="613"/>
      <c r="BH83" s="613"/>
      <c r="BI83" s="536"/>
      <c r="BL83" s="536"/>
      <c r="BT83" s="536"/>
      <c r="BU83" s="610">
        <v>13.333333333333334</v>
      </c>
      <c r="BV83" s="610">
        <v>13.333333333333334</v>
      </c>
      <c r="BW83" s="610">
        <v>13.333333333333334</v>
      </c>
      <c r="BX83" s="610">
        <v>13.333333333333334</v>
      </c>
      <c r="BY83" s="610">
        <v>13.333333333333334</v>
      </c>
      <c r="BZ83" s="610">
        <v>13.333333333333334</v>
      </c>
      <c r="CA83" s="566">
        <v>80</v>
      </c>
      <c r="CB83" s="566">
        <v>160</v>
      </c>
      <c r="CC83" s="536"/>
      <c r="CR83" s="533" t="s">
        <v>826</v>
      </c>
    </row>
    <row r="84" spans="1:96" s="615" customFormat="1" ht="15.75" thickBot="1" x14ac:dyDescent="0.25">
      <c r="A84" s="614" t="s">
        <v>776</v>
      </c>
      <c r="C84" s="616" t="s">
        <v>280</v>
      </c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617"/>
      <c r="AO84" s="617"/>
      <c r="AP84" s="617"/>
      <c r="AQ84" s="617">
        <v>0</v>
      </c>
      <c r="AR84" s="617">
        <v>0</v>
      </c>
      <c r="AS84" s="617">
        <v>0</v>
      </c>
      <c r="AT84" s="617">
        <v>0</v>
      </c>
      <c r="AU84" s="617">
        <v>0</v>
      </c>
      <c r="AV84" s="617">
        <v>0</v>
      </c>
      <c r="AW84" s="617">
        <v>0</v>
      </c>
      <c r="AX84" s="617">
        <v>10</v>
      </c>
      <c r="AY84" s="617">
        <v>2</v>
      </c>
      <c r="AZ84" s="617">
        <v>13</v>
      </c>
      <c r="BA84" s="617">
        <v>3</v>
      </c>
      <c r="BB84" s="617">
        <v>4</v>
      </c>
      <c r="BC84" s="617">
        <v>20</v>
      </c>
      <c r="BD84" s="617">
        <v>13</v>
      </c>
      <c r="BE84" s="617">
        <v>10</v>
      </c>
      <c r="BF84" s="617">
        <v>9</v>
      </c>
      <c r="BG84" s="617">
        <v>9</v>
      </c>
      <c r="BH84" s="617">
        <v>7</v>
      </c>
      <c r="BI84" s="542"/>
      <c r="BJ84" s="617">
        <v>9</v>
      </c>
      <c r="BK84" s="617">
        <v>-2</v>
      </c>
      <c r="BL84" s="542"/>
      <c r="BM84" s="617">
        <v>15</v>
      </c>
      <c r="BN84" s="617">
        <v>13</v>
      </c>
      <c r="BO84" s="617">
        <v>13</v>
      </c>
      <c r="BP84" s="617">
        <v>13</v>
      </c>
      <c r="BQ84" s="617">
        <v>13</v>
      </c>
      <c r="BR84" s="617">
        <v>13</v>
      </c>
      <c r="BS84" s="617">
        <v>148</v>
      </c>
      <c r="BT84" s="542"/>
      <c r="BU84" s="617">
        <v>13</v>
      </c>
      <c r="BV84" s="617">
        <v>13</v>
      </c>
      <c r="BW84" s="617">
        <v>13</v>
      </c>
      <c r="BX84" s="617">
        <v>13</v>
      </c>
      <c r="BY84" s="617">
        <v>13</v>
      </c>
      <c r="BZ84" s="617">
        <v>13</v>
      </c>
      <c r="CA84" s="617">
        <v>78</v>
      </c>
      <c r="CB84" s="617">
        <v>156</v>
      </c>
      <c r="CC84" s="542"/>
      <c r="CK84" s="615" t="s">
        <v>896</v>
      </c>
      <c r="CL84" s="615" t="s">
        <v>896</v>
      </c>
      <c r="CM84" s="615" t="s">
        <v>896</v>
      </c>
      <c r="CN84" s="615" t="s">
        <v>896</v>
      </c>
      <c r="CO84" s="615" t="s">
        <v>896</v>
      </c>
      <c r="CP84" s="615" t="s">
        <v>896</v>
      </c>
      <c r="CQ84" s="615" t="s">
        <v>896</v>
      </c>
      <c r="CR84" s="616"/>
    </row>
    <row r="85" spans="1:96" s="559" customFormat="1" outlineLevel="1" x14ac:dyDescent="0.2">
      <c r="A85" s="559">
        <v>5587</v>
      </c>
      <c r="C85" s="560" t="s">
        <v>827</v>
      </c>
      <c r="F85" s="562"/>
      <c r="Q85" s="559" t="s">
        <v>896</v>
      </c>
      <c r="R85" s="559" t="s">
        <v>896</v>
      </c>
      <c r="S85" s="559" t="s">
        <v>896</v>
      </c>
      <c r="T85" s="559" t="s">
        <v>896</v>
      </c>
      <c r="U85" s="559" t="s">
        <v>896</v>
      </c>
      <c r="V85" s="559" t="s">
        <v>896</v>
      </c>
      <c r="W85" s="559" t="s">
        <v>896</v>
      </c>
      <c r="X85" s="559" t="s">
        <v>896</v>
      </c>
      <c r="Y85" s="559" t="s">
        <v>896</v>
      </c>
      <c r="Z85" s="559" t="s">
        <v>896</v>
      </c>
      <c r="AA85" s="559" t="s">
        <v>896</v>
      </c>
      <c r="AB85" s="559" t="s">
        <v>896</v>
      </c>
      <c r="AC85" s="559" t="s">
        <v>896</v>
      </c>
      <c r="AD85" s="559" t="s">
        <v>896</v>
      </c>
      <c r="AE85" s="559" t="s">
        <v>896</v>
      </c>
      <c r="AF85" s="559" t="s">
        <v>896</v>
      </c>
      <c r="AG85" s="559" t="s">
        <v>896</v>
      </c>
      <c r="AH85" s="559" t="s">
        <v>896</v>
      </c>
      <c r="AI85" s="559" t="s">
        <v>896</v>
      </c>
      <c r="AJ85" s="561" t="s">
        <v>896</v>
      </c>
      <c r="AK85" s="561" t="s">
        <v>896</v>
      </c>
      <c r="AL85" s="561" t="s">
        <v>896</v>
      </c>
      <c r="AM85" s="561" t="s">
        <v>896</v>
      </c>
      <c r="AN85" s="561" t="s">
        <v>896</v>
      </c>
      <c r="AO85" s="561" t="s">
        <v>896</v>
      </c>
      <c r="AP85" s="561" t="s">
        <v>896</v>
      </c>
      <c r="AQ85" s="561" t="s">
        <v>896</v>
      </c>
      <c r="AR85" s="561" t="s">
        <v>896</v>
      </c>
      <c r="AS85" s="561" t="s">
        <v>896</v>
      </c>
      <c r="AT85" s="561" t="s">
        <v>896</v>
      </c>
      <c r="AU85" s="561" t="s">
        <v>896</v>
      </c>
      <c r="AV85" s="561" t="s">
        <v>896</v>
      </c>
      <c r="AW85" s="561" t="s">
        <v>896</v>
      </c>
      <c r="AX85" s="561" t="s">
        <v>896</v>
      </c>
      <c r="AY85" s="561" t="s">
        <v>896</v>
      </c>
      <c r="AZ85" s="561" t="s">
        <v>896</v>
      </c>
      <c r="BA85" s="561" t="s">
        <v>896</v>
      </c>
      <c r="BB85" s="561" t="s">
        <v>896</v>
      </c>
      <c r="BC85" s="561">
        <v>7</v>
      </c>
      <c r="BD85" s="561">
        <v>5</v>
      </c>
      <c r="BE85" s="561">
        <v>2</v>
      </c>
      <c r="BF85" s="561">
        <v>6</v>
      </c>
      <c r="BG85" s="561">
        <v>4</v>
      </c>
      <c r="BH85" s="561">
        <v>5</v>
      </c>
      <c r="BI85" s="536"/>
      <c r="BJ85" s="559">
        <v>5</v>
      </c>
      <c r="BK85" s="559">
        <v>0</v>
      </c>
      <c r="BL85" s="536"/>
      <c r="BM85" s="559">
        <v>11</v>
      </c>
      <c r="BN85" s="559">
        <v>7</v>
      </c>
      <c r="BO85" s="559">
        <v>7</v>
      </c>
      <c r="BP85" s="559">
        <v>7</v>
      </c>
      <c r="BQ85" s="559">
        <v>7</v>
      </c>
      <c r="BR85" s="559">
        <v>7</v>
      </c>
      <c r="BS85" s="559">
        <v>75</v>
      </c>
      <c r="BT85" s="536"/>
      <c r="BU85" s="559">
        <v>7</v>
      </c>
      <c r="BV85" s="559">
        <v>7</v>
      </c>
      <c r="BW85" s="559">
        <v>7</v>
      </c>
      <c r="BX85" s="559">
        <v>7</v>
      </c>
      <c r="BY85" s="559">
        <v>7</v>
      </c>
      <c r="BZ85" s="559">
        <v>7</v>
      </c>
      <c r="CA85" s="545">
        <v>42</v>
      </c>
      <c r="CB85" s="545">
        <v>84</v>
      </c>
      <c r="CC85" s="536"/>
      <c r="CK85" s="559" t="s">
        <v>896</v>
      </c>
      <c r="CL85" s="559" t="s">
        <v>896</v>
      </c>
      <c r="CM85" s="559" t="s">
        <v>896</v>
      </c>
      <c r="CN85" s="559" t="s">
        <v>896</v>
      </c>
      <c r="CO85" s="559" t="s">
        <v>896</v>
      </c>
      <c r="CP85" s="559" t="s">
        <v>896</v>
      </c>
      <c r="CQ85" s="559" t="s">
        <v>896</v>
      </c>
      <c r="CR85" s="544" t="s">
        <v>499</v>
      </c>
    </row>
    <row r="86" spans="1:96" s="559" customFormat="1" ht="14.45" customHeight="1" outlineLevel="1" x14ac:dyDescent="0.2">
      <c r="A86" s="559">
        <v>27037</v>
      </c>
      <c r="C86" s="560" t="s">
        <v>828</v>
      </c>
      <c r="F86" s="562"/>
      <c r="V86" s="558"/>
      <c r="W86" s="558"/>
      <c r="X86" s="558"/>
      <c r="Y86" s="558"/>
      <c r="Z86" s="558"/>
      <c r="AA86" s="558"/>
      <c r="AB86" s="558"/>
      <c r="AC86" s="558"/>
      <c r="AD86" s="558"/>
      <c r="AE86" s="558">
        <v>0</v>
      </c>
      <c r="AF86" s="558">
        <v>0</v>
      </c>
      <c r="AG86" s="558">
        <v>0</v>
      </c>
      <c r="AH86" s="558">
        <v>0</v>
      </c>
      <c r="AI86" s="558">
        <v>0</v>
      </c>
      <c r="AJ86" s="558">
        <v>0</v>
      </c>
      <c r="AK86" s="558">
        <v>0</v>
      </c>
      <c r="AL86" s="558">
        <v>0</v>
      </c>
      <c r="AM86" s="558">
        <v>0</v>
      </c>
      <c r="AN86" s="558">
        <v>0</v>
      </c>
      <c r="AO86" s="558">
        <v>0</v>
      </c>
      <c r="AP86" s="558">
        <v>0</v>
      </c>
      <c r="AQ86" s="558">
        <v>0</v>
      </c>
      <c r="AR86" s="558">
        <v>0</v>
      </c>
      <c r="AS86" s="558">
        <v>0</v>
      </c>
      <c r="AT86" s="558">
        <v>0</v>
      </c>
      <c r="AU86" s="558">
        <v>0</v>
      </c>
      <c r="AV86" s="558">
        <v>0</v>
      </c>
      <c r="AW86" s="558">
        <v>0</v>
      </c>
      <c r="AX86" s="558">
        <v>10</v>
      </c>
      <c r="AY86" s="558">
        <v>2</v>
      </c>
      <c r="AZ86" s="558">
        <v>13</v>
      </c>
      <c r="BA86" s="558">
        <v>3</v>
      </c>
      <c r="BB86" s="558">
        <v>4</v>
      </c>
      <c r="BC86" s="558">
        <v>13</v>
      </c>
      <c r="BD86" s="558">
        <v>8</v>
      </c>
      <c r="BE86" s="558">
        <v>8</v>
      </c>
      <c r="BF86" s="558">
        <v>3</v>
      </c>
      <c r="BG86" s="558">
        <v>5</v>
      </c>
      <c r="BH86" s="558">
        <v>2</v>
      </c>
      <c r="BI86" s="536"/>
      <c r="BJ86" s="559">
        <v>4</v>
      </c>
      <c r="BK86" s="543">
        <v>-2</v>
      </c>
      <c r="BL86" s="536"/>
      <c r="BM86" s="559">
        <v>4</v>
      </c>
      <c r="BN86" s="559">
        <v>6</v>
      </c>
      <c r="BO86" s="559">
        <v>6</v>
      </c>
      <c r="BP86" s="559">
        <v>6</v>
      </c>
      <c r="BQ86" s="559">
        <v>6</v>
      </c>
      <c r="BR86" s="559">
        <v>6</v>
      </c>
      <c r="BS86" s="559">
        <v>73</v>
      </c>
      <c r="BT86" s="536"/>
      <c r="BU86" s="559">
        <v>6</v>
      </c>
      <c r="BV86" s="559">
        <v>6</v>
      </c>
      <c r="BW86" s="559">
        <v>6</v>
      </c>
      <c r="BX86" s="559">
        <v>6</v>
      </c>
      <c r="BY86" s="559">
        <v>6</v>
      </c>
      <c r="BZ86" s="559">
        <v>6</v>
      </c>
      <c r="CA86" s="545">
        <v>36</v>
      </c>
      <c r="CB86" s="545">
        <v>72</v>
      </c>
      <c r="CC86" s="536"/>
      <c r="CR86" s="544" t="s">
        <v>499</v>
      </c>
    </row>
    <row r="87" spans="1:96" s="559" customFormat="1" x14ac:dyDescent="0.2">
      <c r="A87" s="559" t="s">
        <v>896</v>
      </c>
      <c r="C87" s="560"/>
      <c r="F87" s="562"/>
      <c r="AJ87" s="561"/>
      <c r="AK87" s="561"/>
      <c r="AL87" s="561"/>
      <c r="AM87" s="561"/>
      <c r="AN87" s="561"/>
      <c r="AO87" s="561"/>
      <c r="AP87" s="561"/>
      <c r="AQ87" s="561"/>
      <c r="AR87" s="561"/>
      <c r="AS87" s="561"/>
      <c r="AT87" s="561"/>
      <c r="AU87" s="561"/>
      <c r="AV87" s="561"/>
      <c r="AW87" s="561"/>
      <c r="AX87" s="561"/>
      <c r="AY87" s="561"/>
      <c r="AZ87" s="561"/>
      <c r="BA87" s="561"/>
      <c r="BB87" s="561"/>
      <c r="BC87" s="561"/>
      <c r="BD87" s="561"/>
      <c r="BE87" s="561"/>
      <c r="BF87" s="561"/>
      <c r="BG87" s="561"/>
      <c r="BH87" s="561"/>
      <c r="BI87" s="536"/>
      <c r="BK87" s="559" t="s">
        <v>896</v>
      </c>
      <c r="BL87" s="536"/>
      <c r="BS87" s="543"/>
      <c r="BT87" s="536"/>
      <c r="CA87" s="562"/>
      <c r="CB87" s="562"/>
      <c r="CC87" s="536"/>
      <c r="CK87" s="559" t="s">
        <v>896</v>
      </c>
      <c r="CL87" s="559" t="s">
        <v>896</v>
      </c>
      <c r="CM87" s="559" t="s">
        <v>896</v>
      </c>
      <c r="CN87" s="559" t="s">
        <v>896</v>
      </c>
      <c r="CO87" s="559" t="s">
        <v>896</v>
      </c>
      <c r="CP87" s="559" t="s">
        <v>896</v>
      </c>
      <c r="CQ87" s="559" t="s">
        <v>896</v>
      </c>
      <c r="CR87" s="560"/>
    </row>
    <row r="88" spans="1:96" s="618" customFormat="1" x14ac:dyDescent="0.2">
      <c r="A88" s="618" t="s">
        <v>776</v>
      </c>
      <c r="C88" s="619" t="s">
        <v>829</v>
      </c>
      <c r="E88" s="618">
        <v>115</v>
      </c>
      <c r="F88" s="618">
        <v>139</v>
      </c>
      <c r="G88" s="618">
        <v>155</v>
      </c>
      <c r="H88" s="618">
        <v>116</v>
      </c>
      <c r="I88" s="618">
        <v>132</v>
      </c>
      <c r="J88" s="618">
        <v>129</v>
      </c>
      <c r="K88" s="618">
        <v>132</v>
      </c>
      <c r="L88" s="618">
        <v>144</v>
      </c>
      <c r="M88" s="618">
        <v>118</v>
      </c>
      <c r="N88" s="618">
        <v>139</v>
      </c>
      <c r="O88" s="618">
        <v>145</v>
      </c>
      <c r="P88" s="618">
        <v>160</v>
      </c>
      <c r="Q88" s="618">
        <v>113</v>
      </c>
      <c r="R88" s="618">
        <v>139</v>
      </c>
      <c r="S88" s="618">
        <v>125</v>
      </c>
      <c r="T88" s="618">
        <v>139</v>
      </c>
      <c r="U88" s="618">
        <v>117</v>
      </c>
      <c r="V88" s="618">
        <v>124</v>
      </c>
      <c r="W88" s="618">
        <v>93</v>
      </c>
      <c r="X88" s="618">
        <v>112</v>
      </c>
      <c r="Y88" s="618">
        <v>132</v>
      </c>
      <c r="Z88" s="618">
        <v>143</v>
      </c>
      <c r="AA88" s="618">
        <v>148</v>
      </c>
      <c r="AB88" s="618">
        <v>128</v>
      </c>
      <c r="AC88" s="618">
        <v>146</v>
      </c>
      <c r="AD88" s="618">
        <v>182</v>
      </c>
      <c r="AE88" s="618">
        <v>132</v>
      </c>
      <c r="AF88" s="618">
        <v>182</v>
      </c>
      <c r="AG88" s="618">
        <v>183</v>
      </c>
      <c r="AH88" s="618">
        <v>156</v>
      </c>
      <c r="AI88" s="618">
        <v>193</v>
      </c>
      <c r="AJ88" s="620">
        <v>195</v>
      </c>
      <c r="AK88" s="620">
        <v>183</v>
      </c>
      <c r="AL88" s="620">
        <v>186</v>
      </c>
      <c r="AM88" s="620">
        <v>205</v>
      </c>
      <c r="AN88" s="620">
        <v>189</v>
      </c>
      <c r="AO88" s="620">
        <v>253</v>
      </c>
      <c r="AP88" s="620">
        <v>245</v>
      </c>
      <c r="AQ88" s="620">
        <v>217</v>
      </c>
      <c r="AR88" s="620">
        <v>232</v>
      </c>
      <c r="AS88" s="620">
        <v>215</v>
      </c>
      <c r="AT88" s="620">
        <v>249</v>
      </c>
      <c r="AU88" s="620">
        <v>239</v>
      </c>
      <c r="AV88" s="620">
        <v>214</v>
      </c>
      <c r="AW88" s="620">
        <v>244</v>
      </c>
      <c r="AX88" s="620">
        <v>248</v>
      </c>
      <c r="AY88" s="620">
        <v>262</v>
      </c>
      <c r="AZ88" s="620">
        <v>273</v>
      </c>
      <c r="BA88" s="620">
        <v>269</v>
      </c>
      <c r="BB88" s="620">
        <v>259</v>
      </c>
      <c r="BC88" s="620">
        <v>244</v>
      </c>
      <c r="BD88" s="620">
        <v>268</v>
      </c>
      <c r="BE88" s="620">
        <v>252</v>
      </c>
      <c r="BF88" s="620">
        <v>291</v>
      </c>
      <c r="BG88" s="620">
        <v>271</v>
      </c>
      <c r="BH88" s="620">
        <v>249</v>
      </c>
      <c r="BI88" s="530"/>
      <c r="BJ88" s="618">
        <v>254</v>
      </c>
      <c r="BK88" s="618">
        <v>-5</v>
      </c>
      <c r="BL88" s="530"/>
      <c r="BM88" s="618">
        <v>276</v>
      </c>
      <c r="BN88" s="618">
        <v>269</v>
      </c>
      <c r="BO88" s="618">
        <v>269</v>
      </c>
      <c r="BP88" s="618">
        <v>273</v>
      </c>
      <c r="BQ88" s="618">
        <v>273</v>
      </c>
      <c r="BR88" s="618">
        <v>273</v>
      </c>
      <c r="BS88" s="618">
        <v>3208</v>
      </c>
      <c r="BT88" s="530"/>
      <c r="BU88" s="618">
        <v>281.33333333333337</v>
      </c>
      <c r="BV88" s="618">
        <v>280.33333333333337</v>
      </c>
      <c r="BW88" s="618">
        <v>286.33333333333337</v>
      </c>
      <c r="BX88" s="618">
        <v>284.33333333333337</v>
      </c>
      <c r="BY88" s="618">
        <v>289.33333333333337</v>
      </c>
      <c r="BZ88" s="618">
        <v>285.33333333333337</v>
      </c>
      <c r="CA88" s="618">
        <v>1707.0000000000005</v>
      </c>
      <c r="CB88" s="618">
        <v>3414.0000000000009</v>
      </c>
      <c r="CC88" s="530"/>
      <c r="CK88" s="618" t="s">
        <v>896</v>
      </c>
      <c r="CL88" s="618" t="s">
        <v>896</v>
      </c>
      <c r="CM88" s="618" t="s">
        <v>896</v>
      </c>
      <c r="CN88" s="618" t="s">
        <v>896</v>
      </c>
      <c r="CO88" s="618" t="s">
        <v>896</v>
      </c>
      <c r="CP88" s="618" t="s">
        <v>896</v>
      </c>
      <c r="CQ88" s="618" t="s">
        <v>896</v>
      </c>
      <c r="CR88" s="619"/>
    </row>
    <row r="89" spans="1:96" s="559" customFormat="1" ht="15.75" thickBot="1" x14ac:dyDescent="0.25">
      <c r="A89" s="559" t="s">
        <v>896</v>
      </c>
      <c r="C89" s="560"/>
      <c r="F89" s="562"/>
      <c r="AJ89" s="561"/>
      <c r="AK89" s="561"/>
      <c r="AL89" s="561"/>
      <c r="AM89" s="561"/>
      <c r="AN89" s="561"/>
      <c r="AO89" s="561"/>
      <c r="AP89" s="561"/>
      <c r="AQ89" s="561"/>
      <c r="AR89" s="561"/>
      <c r="AS89" s="561"/>
      <c r="AT89" s="561"/>
      <c r="AU89" s="561"/>
      <c r="AV89" s="561"/>
      <c r="AW89" s="561"/>
      <c r="AX89" s="561"/>
      <c r="AY89" s="561"/>
      <c r="AZ89" s="561"/>
      <c r="BA89" s="561"/>
      <c r="BB89" s="561"/>
      <c r="BC89" s="561"/>
      <c r="BD89" s="561"/>
      <c r="BE89" s="561"/>
      <c r="BF89" s="561"/>
      <c r="BG89" s="561"/>
      <c r="BH89" s="561"/>
      <c r="BI89" s="536"/>
      <c r="BK89" s="559" t="s">
        <v>896</v>
      </c>
      <c r="BL89" s="536"/>
      <c r="BS89" s="543"/>
      <c r="BT89" s="536"/>
      <c r="CA89" s="562"/>
      <c r="CB89" s="562"/>
      <c r="CC89" s="536"/>
      <c r="CK89" s="559" t="s">
        <v>896</v>
      </c>
      <c r="CL89" s="559" t="s">
        <v>896</v>
      </c>
      <c r="CM89" s="559" t="s">
        <v>896</v>
      </c>
      <c r="CN89" s="559" t="s">
        <v>896</v>
      </c>
      <c r="CO89" s="559" t="s">
        <v>896</v>
      </c>
      <c r="CP89" s="559" t="s">
        <v>896</v>
      </c>
      <c r="CQ89" s="559" t="s">
        <v>896</v>
      </c>
      <c r="CR89" s="560"/>
    </row>
    <row r="90" spans="1:96" s="581" customFormat="1" ht="15.75" thickBot="1" x14ac:dyDescent="0.25">
      <c r="A90" s="578" t="s">
        <v>776</v>
      </c>
      <c r="B90" s="579"/>
      <c r="C90" s="580" t="s">
        <v>830</v>
      </c>
      <c r="F90" s="582"/>
      <c r="G90" s="581">
        <v>0</v>
      </c>
      <c r="H90" s="581">
        <v>0</v>
      </c>
      <c r="I90" s="581">
        <v>0</v>
      </c>
      <c r="J90" s="581">
        <v>0</v>
      </c>
      <c r="K90" s="581">
        <v>0</v>
      </c>
      <c r="L90" s="581">
        <v>0</v>
      </c>
      <c r="M90" s="581">
        <v>0</v>
      </c>
      <c r="N90" s="581">
        <v>0</v>
      </c>
      <c r="O90" s="581">
        <v>0</v>
      </c>
      <c r="P90" s="581">
        <v>0</v>
      </c>
      <c r="Q90" s="581">
        <v>0</v>
      </c>
      <c r="R90" s="581">
        <v>1</v>
      </c>
      <c r="S90" s="581">
        <v>0</v>
      </c>
      <c r="T90" s="581">
        <v>1</v>
      </c>
      <c r="U90" s="581">
        <v>0</v>
      </c>
      <c r="V90" s="581">
        <v>1</v>
      </c>
      <c r="W90" s="581">
        <v>2</v>
      </c>
      <c r="X90" s="581">
        <v>1</v>
      </c>
      <c r="Y90" s="581">
        <v>0</v>
      </c>
      <c r="Z90" s="581">
        <v>0</v>
      </c>
      <c r="AA90" s="581">
        <v>1</v>
      </c>
      <c r="AB90" s="581">
        <v>2</v>
      </c>
      <c r="AC90" s="583">
        <v>0</v>
      </c>
      <c r="AD90" s="583">
        <v>1</v>
      </c>
      <c r="AE90" s="583">
        <v>0</v>
      </c>
      <c r="AF90" s="583">
        <v>0</v>
      </c>
      <c r="AG90" s="583">
        <v>2</v>
      </c>
      <c r="AH90" s="583">
        <v>6</v>
      </c>
      <c r="AI90" s="583">
        <v>0</v>
      </c>
      <c r="AJ90" s="583">
        <v>1</v>
      </c>
      <c r="AK90" s="583">
        <v>4</v>
      </c>
      <c r="AL90" s="583">
        <v>1</v>
      </c>
      <c r="AM90" s="583">
        <v>1</v>
      </c>
      <c r="AN90" s="583">
        <v>1</v>
      </c>
      <c r="AO90" s="583">
        <v>1</v>
      </c>
      <c r="AP90" s="583">
        <v>1</v>
      </c>
      <c r="AQ90" s="583">
        <v>3</v>
      </c>
      <c r="AR90" s="583">
        <v>1</v>
      </c>
      <c r="AS90" s="583">
        <v>2</v>
      </c>
      <c r="AT90" s="583">
        <v>3</v>
      </c>
      <c r="AU90" s="583">
        <v>0</v>
      </c>
      <c r="AV90" s="583">
        <v>2</v>
      </c>
      <c r="AW90" s="583">
        <v>5</v>
      </c>
      <c r="AX90" s="583">
        <v>2</v>
      </c>
      <c r="AY90" s="583">
        <v>5</v>
      </c>
      <c r="AZ90" s="583">
        <v>4</v>
      </c>
      <c r="BA90" s="583">
        <v>4</v>
      </c>
      <c r="BB90" s="583">
        <v>2</v>
      </c>
      <c r="BC90" s="583">
        <v>1</v>
      </c>
      <c r="BD90" s="583">
        <v>1</v>
      </c>
      <c r="BE90" s="583">
        <v>1</v>
      </c>
      <c r="BF90" s="583">
        <v>2</v>
      </c>
      <c r="BG90" s="583">
        <v>0</v>
      </c>
      <c r="BH90" s="583">
        <v>1</v>
      </c>
      <c r="BI90" s="536"/>
      <c r="BJ90" s="583">
        <v>1</v>
      </c>
      <c r="BK90" s="581">
        <v>0</v>
      </c>
      <c r="BL90" s="536"/>
      <c r="BM90" s="583">
        <v>2</v>
      </c>
      <c r="BN90" s="583">
        <v>2</v>
      </c>
      <c r="BO90" s="583">
        <v>2</v>
      </c>
      <c r="BP90" s="583">
        <v>2</v>
      </c>
      <c r="BQ90" s="583">
        <v>2</v>
      </c>
      <c r="BR90" s="583">
        <v>2</v>
      </c>
      <c r="BS90" s="583">
        <v>18</v>
      </c>
      <c r="BT90" s="536"/>
      <c r="BU90" s="583">
        <v>2</v>
      </c>
      <c r="BV90" s="583">
        <v>2</v>
      </c>
      <c r="BW90" s="583">
        <v>2</v>
      </c>
      <c r="BX90" s="583">
        <v>2</v>
      </c>
      <c r="BY90" s="583">
        <v>2</v>
      </c>
      <c r="BZ90" s="583">
        <v>2</v>
      </c>
      <c r="CA90" s="583">
        <v>12</v>
      </c>
      <c r="CB90" s="583">
        <v>24</v>
      </c>
      <c r="CC90" s="536"/>
      <c r="CK90" s="581" t="s">
        <v>896</v>
      </c>
      <c r="CL90" s="581" t="s">
        <v>896</v>
      </c>
      <c r="CM90" s="581" t="s">
        <v>896</v>
      </c>
      <c r="CN90" s="581" t="s">
        <v>896</v>
      </c>
      <c r="CO90" s="581" t="s">
        <v>896</v>
      </c>
      <c r="CP90" s="581" t="s">
        <v>896</v>
      </c>
      <c r="CQ90" s="581" t="s">
        <v>896</v>
      </c>
      <c r="CR90" s="584"/>
    </row>
    <row r="91" spans="1:96" s="559" customFormat="1" outlineLevel="1" x14ac:dyDescent="0.2">
      <c r="A91" s="559">
        <v>39784</v>
      </c>
      <c r="C91" s="560" t="s">
        <v>831</v>
      </c>
      <c r="F91" s="562"/>
      <c r="Y91" s="558">
        <v>1</v>
      </c>
      <c r="Z91" s="558" t="s">
        <v>896</v>
      </c>
      <c r="AA91" s="558">
        <v>1</v>
      </c>
      <c r="AB91" s="558">
        <v>2</v>
      </c>
      <c r="AC91" s="558" t="s">
        <v>896</v>
      </c>
      <c r="AD91" s="558" t="s">
        <v>896</v>
      </c>
      <c r="AE91" s="558" t="s">
        <v>896</v>
      </c>
      <c r="AF91" s="558" t="s">
        <v>896</v>
      </c>
      <c r="AG91" s="558" t="s">
        <v>896</v>
      </c>
      <c r="AH91" s="558">
        <v>1</v>
      </c>
      <c r="AI91" s="558" t="s">
        <v>896</v>
      </c>
      <c r="AJ91" s="563" t="s">
        <v>896</v>
      </c>
      <c r="AK91" s="563" t="s">
        <v>896</v>
      </c>
      <c r="AL91" s="563" t="s">
        <v>896</v>
      </c>
      <c r="AM91" s="563" t="s">
        <v>896</v>
      </c>
      <c r="AN91" s="563" t="s">
        <v>896</v>
      </c>
      <c r="AO91" s="563" t="s">
        <v>896</v>
      </c>
      <c r="AP91" s="563" t="s">
        <v>896</v>
      </c>
      <c r="AQ91" s="563" t="s">
        <v>896</v>
      </c>
      <c r="AR91" s="563" t="s">
        <v>896</v>
      </c>
      <c r="AS91" s="563" t="s">
        <v>896</v>
      </c>
      <c r="AT91" s="563" t="s">
        <v>896</v>
      </c>
      <c r="AU91" s="563" t="s">
        <v>896</v>
      </c>
      <c r="AV91" s="563" t="s">
        <v>896</v>
      </c>
      <c r="AW91" s="563" t="s">
        <v>896</v>
      </c>
      <c r="AX91" s="563" t="s">
        <v>896</v>
      </c>
      <c r="AY91" s="563" t="s">
        <v>896</v>
      </c>
      <c r="AZ91" s="563" t="s">
        <v>896</v>
      </c>
      <c r="BA91" s="563" t="s">
        <v>896</v>
      </c>
      <c r="BB91" s="563" t="s">
        <v>896</v>
      </c>
      <c r="BC91" s="563" t="s">
        <v>896</v>
      </c>
      <c r="BD91" s="563" t="s">
        <v>896</v>
      </c>
      <c r="BE91" s="563" t="s">
        <v>896</v>
      </c>
      <c r="BF91" s="563" t="s">
        <v>896</v>
      </c>
      <c r="BG91" s="563" t="s">
        <v>896</v>
      </c>
      <c r="BH91" s="563" t="s">
        <v>896</v>
      </c>
      <c r="BI91" s="536"/>
      <c r="BK91" s="559" t="s">
        <v>896</v>
      </c>
      <c r="BL91" s="536"/>
      <c r="BS91" s="559" t="s">
        <v>896</v>
      </c>
      <c r="BT91" s="536"/>
      <c r="CA91" s="545">
        <v>0</v>
      </c>
      <c r="CB91" s="545">
        <v>0</v>
      </c>
      <c r="CC91" s="536"/>
      <c r="CR91" s="544" t="s">
        <v>499</v>
      </c>
    </row>
    <row r="92" spans="1:96" s="559" customFormat="1" outlineLevel="1" x14ac:dyDescent="0.2">
      <c r="A92" s="559">
        <v>41178</v>
      </c>
      <c r="C92" s="560" t="s">
        <v>832</v>
      </c>
      <c r="E92" s="559">
        <v>7</v>
      </c>
      <c r="F92" s="562">
        <v>11</v>
      </c>
      <c r="Q92" s="559" t="s">
        <v>896</v>
      </c>
      <c r="R92" s="559" t="s">
        <v>896</v>
      </c>
      <c r="S92" s="559" t="s">
        <v>896</v>
      </c>
      <c r="T92" s="559" t="s">
        <v>896</v>
      </c>
      <c r="U92" s="559" t="s">
        <v>896</v>
      </c>
      <c r="V92" s="559" t="s">
        <v>896</v>
      </c>
      <c r="W92" s="559">
        <v>1</v>
      </c>
      <c r="X92" s="559" t="s">
        <v>896</v>
      </c>
      <c r="Y92" s="559" t="s">
        <v>896</v>
      </c>
      <c r="Z92" s="559" t="s">
        <v>896</v>
      </c>
      <c r="AA92" s="559" t="s">
        <v>896</v>
      </c>
      <c r="AB92" s="559" t="s">
        <v>896</v>
      </c>
      <c r="AC92" s="559" t="s">
        <v>896</v>
      </c>
      <c r="AD92" s="559" t="s">
        <v>896</v>
      </c>
      <c r="AE92" s="559" t="s">
        <v>896</v>
      </c>
      <c r="AF92" s="559" t="s">
        <v>896</v>
      </c>
      <c r="AG92" s="559">
        <v>2</v>
      </c>
      <c r="AH92" s="559">
        <v>5</v>
      </c>
      <c r="AI92" s="559" t="s">
        <v>896</v>
      </c>
      <c r="AJ92" s="559">
        <v>1</v>
      </c>
      <c r="AK92" s="559">
        <v>4</v>
      </c>
      <c r="AL92" s="559">
        <v>1</v>
      </c>
      <c r="AM92" s="559">
        <v>1</v>
      </c>
      <c r="AN92" s="559">
        <v>1</v>
      </c>
      <c r="AO92" s="559">
        <v>1</v>
      </c>
      <c r="AP92" s="559">
        <v>1</v>
      </c>
      <c r="AQ92" s="559">
        <v>3</v>
      </c>
      <c r="AR92" s="559">
        <v>1</v>
      </c>
      <c r="AS92" s="559">
        <v>2</v>
      </c>
      <c r="AT92" s="559">
        <v>3</v>
      </c>
      <c r="AU92" s="559" t="s">
        <v>896</v>
      </c>
      <c r="AV92" s="559">
        <v>2</v>
      </c>
      <c r="AW92" s="559">
        <v>5</v>
      </c>
      <c r="AX92" s="559">
        <v>2</v>
      </c>
      <c r="AY92" s="559">
        <v>5</v>
      </c>
      <c r="AZ92" s="559">
        <v>4</v>
      </c>
      <c r="BA92" s="559">
        <v>4</v>
      </c>
      <c r="BB92" s="559">
        <v>2</v>
      </c>
      <c r="BC92" s="559">
        <v>1</v>
      </c>
      <c r="BD92" s="559">
        <v>1</v>
      </c>
      <c r="BE92" s="559">
        <v>1</v>
      </c>
      <c r="BF92" s="559">
        <v>2</v>
      </c>
      <c r="BG92" s="559" t="s">
        <v>896</v>
      </c>
      <c r="BH92" s="559">
        <v>1</v>
      </c>
      <c r="BI92" s="536"/>
      <c r="BJ92" s="559">
        <v>1</v>
      </c>
      <c r="BK92" s="559">
        <v>0</v>
      </c>
      <c r="BL92" s="536"/>
      <c r="BM92" s="559">
        <v>2</v>
      </c>
      <c r="BN92" s="559">
        <v>2</v>
      </c>
      <c r="BO92" s="559">
        <v>2</v>
      </c>
      <c r="BP92" s="559">
        <v>2</v>
      </c>
      <c r="BQ92" s="559">
        <v>2</v>
      </c>
      <c r="BR92" s="559">
        <v>2</v>
      </c>
      <c r="BS92" s="559">
        <v>18</v>
      </c>
      <c r="BT92" s="536"/>
      <c r="BU92" s="559">
        <v>2</v>
      </c>
      <c r="BV92" s="559">
        <v>2</v>
      </c>
      <c r="BW92" s="559">
        <v>2</v>
      </c>
      <c r="BX92" s="559">
        <v>2</v>
      </c>
      <c r="BY92" s="559">
        <v>2</v>
      </c>
      <c r="BZ92" s="559">
        <v>2</v>
      </c>
      <c r="CA92" s="545">
        <v>12</v>
      </c>
      <c r="CB92" s="545">
        <v>24</v>
      </c>
      <c r="CC92" s="536"/>
      <c r="CK92" s="559" t="s">
        <v>896</v>
      </c>
      <c r="CL92" s="559" t="s">
        <v>896</v>
      </c>
      <c r="CM92" s="559" t="s">
        <v>896</v>
      </c>
      <c r="CN92" s="559" t="s">
        <v>896</v>
      </c>
      <c r="CO92" s="559" t="s">
        <v>896</v>
      </c>
      <c r="CP92" s="559" t="s">
        <v>896</v>
      </c>
      <c r="CQ92" s="559" t="s">
        <v>896</v>
      </c>
      <c r="CR92" s="544" t="s">
        <v>499</v>
      </c>
    </row>
    <row r="93" spans="1:96" s="559" customFormat="1" ht="14.45" customHeight="1" outlineLevel="1" thickBot="1" x14ac:dyDescent="0.25">
      <c r="A93" s="559">
        <v>39735</v>
      </c>
      <c r="C93" s="560" t="s">
        <v>833</v>
      </c>
      <c r="F93" s="562"/>
      <c r="Q93" s="559">
        <v>0</v>
      </c>
      <c r="R93" s="559">
        <v>1</v>
      </c>
      <c r="S93" s="559">
        <v>0</v>
      </c>
      <c r="T93" s="559">
        <v>1</v>
      </c>
      <c r="U93" s="559">
        <v>0</v>
      </c>
      <c r="V93" s="558">
        <v>1</v>
      </c>
      <c r="W93" s="558">
        <v>2</v>
      </c>
      <c r="X93" s="558">
        <v>1</v>
      </c>
      <c r="Y93" s="558">
        <v>0</v>
      </c>
      <c r="Z93" s="558">
        <v>0</v>
      </c>
      <c r="AA93" s="558">
        <v>0</v>
      </c>
      <c r="AB93" s="558">
        <v>0</v>
      </c>
      <c r="AC93" s="558">
        <v>0</v>
      </c>
      <c r="AD93" s="558">
        <v>1</v>
      </c>
      <c r="AE93" s="558">
        <v>0</v>
      </c>
      <c r="AF93" s="558">
        <v>0</v>
      </c>
      <c r="AG93" s="558">
        <v>0</v>
      </c>
      <c r="AH93" s="558">
        <v>0</v>
      </c>
      <c r="AI93" s="558">
        <v>0</v>
      </c>
      <c r="AJ93" s="563">
        <v>0</v>
      </c>
      <c r="AK93" s="563">
        <v>0</v>
      </c>
      <c r="AL93" s="563">
        <v>0</v>
      </c>
      <c r="AM93" s="563">
        <v>0</v>
      </c>
      <c r="AN93" s="563">
        <v>0</v>
      </c>
      <c r="AO93" s="563">
        <v>0</v>
      </c>
      <c r="AP93" s="563">
        <v>0</v>
      </c>
      <c r="AQ93" s="563">
        <v>0</v>
      </c>
      <c r="AR93" s="563">
        <v>0</v>
      </c>
      <c r="AS93" s="563">
        <v>0</v>
      </c>
      <c r="AT93" s="563">
        <v>0</v>
      </c>
      <c r="AU93" s="563">
        <v>0</v>
      </c>
      <c r="AV93" s="563">
        <v>0</v>
      </c>
      <c r="AW93" s="563">
        <v>0</v>
      </c>
      <c r="AX93" s="563">
        <v>0</v>
      </c>
      <c r="AY93" s="563">
        <v>0</v>
      </c>
      <c r="AZ93" s="563">
        <v>0</v>
      </c>
      <c r="BA93" s="563">
        <v>0</v>
      </c>
      <c r="BB93" s="563">
        <v>0</v>
      </c>
      <c r="BC93" s="563">
        <v>0</v>
      </c>
      <c r="BD93" s="563">
        <v>0</v>
      </c>
      <c r="BE93" s="563">
        <v>0</v>
      </c>
      <c r="BF93" s="563">
        <v>0</v>
      </c>
      <c r="BG93" s="563">
        <v>0</v>
      </c>
      <c r="BH93" s="563">
        <v>0</v>
      </c>
      <c r="BI93" s="536"/>
      <c r="BK93" s="559">
        <v>0</v>
      </c>
      <c r="BL93" s="536"/>
      <c r="BS93" s="559">
        <v>0</v>
      </c>
      <c r="BT93" s="536"/>
      <c r="CA93" s="545">
        <v>0</v>
      </c>
      <c r="CB93" s="545">
        <v>0</v>
      </c>
      <c r="CC93" s="536"/>
      <c r="CK93" s="559" t="s">
        <v>896</v>
      </c>
      <c r="CL93" s="559" t="s">
        <v>896</v>
      </c>
      <c r="CM93" s="559">
        <v>1</v>
      </c>
      <c r="CN93" s="559" t="s">
        <v>896</v>
      </c>
      <c r="CO93" s="559">
        <v>1</v>
      </c>
      <c r="CP93" s="559" t="s">
        <v>896</v>
      </c>
      <c r="CQ93" s="558">
        <v>1</v>
      </c>
      <c r="CR93" s="544" t="s">
        <v>499</v>
      </c>
    </row>
    <row r="94" spans="1:96" s="621" customFormat="1" ht="14.45" customHeight="1" thickBot="1" x14ac:dyDescent="0.25">
      <c r="A94" s="621" t="s">
        <v>776</v>
      </c>
      <c r="C94" s="622" t="s">
        <v>44</v>
      </c>
      <c r="E94" s="621">
        <v>0</v>
      </c>
      <c r="F94" s="623">
        <v>0</v>
      </c>
      <c r="H94" s="623">
        <v>1</v>
      </c>
      <c r="I94" s="623">
        <v>0</v>
      </c>
      <c r="J94" s="623">
        <v>4</v>
      </c>
      <c r="K94" s="623">
        <v>0</v>
      </c>
      <c r="L94" s="623">
        <v>0</v>
      </c>
      <c r="M94" s="623">
        <v>1</v>
      </c>
      <c r="N94" s="623">
        <v>0</v>
      </c>
      <c r="O94" s="623">
        <v>4</v>
      </c>
      <c r="P94" s="623">
        <v>0</v>
      </c>
      <c r="Q94" s="623">
        <v>0</v>
      </c>
      <c r="R94" s="623">
        <v>0</v>
      </c>
      <c r="S94" s="623">
        <v>5</v>
      </c>
      <c r="T94" s="623">
        <v>0</v>
      </c>
      <c r="U94" s="623">
        <v>1</v>
      </c>
      <c r="V94" s="623">
        <v>0</v>
      </c>
      <c r="W94" s="623">
        <v>0</v>
      </c>
      <c r="X94" s="623">
        <v>6</v>
      </c>
      <c r="Y94" s="623">
        <v>0</v>
      </c>
      <c r="Z94" s="623">
        <v>0</v>
      </c>
      <c r="AA94" s="623">
        <v>1</v>
      </c>
      <c r="AB94" s="623">
        <v>1</v>
      </c>
      <c r="AC94" s="623">
        <v>0</v>
      </c>
      <c r="AD94" s="623">
        <v>0</v>
      </c>
      <c r="AE94" s="623">
        <v>0</v>
      </c>
      <c r="AF94" s="623">
        <v>3</v>
      </c>
      <c r="AG94" s="623">
        <v>1</v>
      </c>
      <c r="AH94" s="623">
        <v>0</v>
      </c>
      <c r="AI94" s="623">
        <v>4</v>
      </c>
      <c r="AJ94" s="624">
        <v>1</v>
      </c>
      <c r="AK94" s="624">
        <v>0</v>
      </c>
      <c r="AL94" s="624">
        <v>0</v>
      </c>
      <c r="AM94" s="624">
        <v>0</v>
      </c>
      <c r="AN94" s="624">
        <v>0</v>
      </c>
      <c r="AO94" s="624">
        <v>0</v>
      </c>
      <c r="AP94" s="624">
        <v>0</v>
      </c>
      <c r="AQ94" s="624">
        <v>0</v>
      </c>
      <c r="AR94" s="624">
        <v>0</v>
      </c>
      <c r="AS94" s="624">
        <v>0</v>
      </c>
      <c r="AT94" s="624">
        <v>0</v>
      </c>
      <c r="AU94" s="624">
        <v>0</v>
      </c>
      <c r="AV94" s="624">
        <v>0</v>
      </c>
      <c r="AW94" s="624">
        <v>0</v>
      </c>
      <c r="AX94" s="624">
        <v>0</v>
      </c>
      <c r="AY94" s="624">
        <v>0</v>
      </c>
      <c r="AZ94" s="624">
        <v>0</v>
      </c>
      <c r="BA94" s="624">
        <v>0</v>
      </c>
      <c r="BB94" s="624">
        <v>0</v>
      </c>
      <c r="BC94" s="624">
        <v>0</v>
      </c>
      <c r="BD94" s="624">
        <v>0</v>
      </c>
      <c r="BE94" s="624">
        <v>0</v>
      </c>
      <c r="BF94" s="624">
        <v>0</v>
      </c>
      <c r="BG94" s="624">
        <v>0</v>
      </c>
      <c r="BH94" s="624">
        <v>0</v>
      </c>
      <c r="BI94" s="625"/>
      <c r="BJ94" s="623">
        <v>0</v>
      </c>
      <c r="BK94" s="623">
        <v>0</v>
      </c>
      <c r="BL94" s="625"/>
      <c r="BM94" s="623">
        <v>0</v>
      </c>
      <c r="BN94" s="623">
        <v>0</v>
      </c>
      <c r="BO94" s="623">
        <v>0</v>
      </c>
      <c r="BP94" s="623">
        <v>0</v>
      </c>
      <c r="BQ94" s="623">
        <v>0</v>
      </c>
      <c r="BR94" s="623">
        <v>0</v>
      </c>
      <c r="BS94" s="623">
        <v>0</v>
      </c>
      <c r="BT94" s="625"/>
      <c r="BU94" s="623">
        <v>0</v>
      </c>
      <c r="BV94" s="623">
        <v>0</v>
      </c>
      <c r="BW94" s="623">
        <v>0</v>
      </c>
      <c r="BX94" s="623">
        <v>0</v>
      </c>
      <c r="BY94" s="623">
        <v>0</v>
      </c>
      <c r="BZ94" s="623">
        <v>0</v>
      </c>
      <c r="CA94" s="556">
        <v>0</v>
      </c>
      <c r="CB94" s="556">
        <v>0</v>
      </c>
      <c r="CC94" s="625"/>
      <c r="CK94" s="621" t="s">
        <v>896</v>
      </c>
      <c r="CL94" s="621" t="s">
        <v>896</v>
      </c>
      <c r="CM94" s="621" t="s">
        <v>896</v>
      </c>
      <c r="CN94" s="621" t="s">
        <v>896</v>
      </c>
      <c r="CO94" s="621" t="s">
        <v>896</v>
      </c>
      <c r="CP94" s="621" t="s">
        <v>896</v>
      </c>
      <c r="CQ94" s="621" t="s">
        <v>896</v>
      </c>
      <c r="CR94" s="622"/>
    </row>
    <row r="95" spans="1:96" s="559" customFormat="1" ht="14.45" customHeight="1" outlineLevel="1" thickBot="1" x14ac:dyDescent="0.25">
      <c r="A95" s="559">
        <v>41574</v>
      </c>
      <c r="C95" s="560" t="s">
        <v>834</v>
      </c>
      <c r="E95" s="559">
        <v>0</v>
      </c>
      <c r="F95" s="562">
        <v>0</v>
      </c>
      <c r="H95" s="559">
        <v>1</v>
      </c>
      <c r="J95" s="559">
        <v>4</v>
      </c>
      <c r="M95" s="559">
        <v>1</v>
      </c>
      <c r="O95" s="559">
        <v>4</v>
      </c>
      <c r="Q95" s="559">
        <v>0</v>
      </c>
      <c r="R95" s="559">
        <v>0</v>
      </c>
      <c r="S95" s="559">
        <v>5</v>
      </c>
      <c r="T95" s="559">
        <v>0</v>
      </c>
      <c r="U95" s="559">
        <v>1</v>
      </c>
      <c r="V95" s="558">
        <v>0</v>
      </c>
      <c r="W95" s="558">
        <v>0</v>
      </c>
      <c r="X95" s="558">
        <v>6</v>
      </c>
      <c r="Y95" s="558">
        <v>0</v>
      </c>
      <c r="Z95" s="558">
        <v>0</v>
      </c>
      <c r="AA95" s="558">
        <v>1</v>
      </c>
      <c r="AB95" s="558">
        <v>1</v>
      </c>
      <c r="AC95" s="558">
        <v>0</v>
      </c>
      <c r="AD95" s="558">
        <v>0</v>
      </c>
      <c r="AE95" s="558">
        <v>0</v>
      </c>
      <c r="AF95" s="558">
        <v>3</v>
      </c>
      <c r="AG95" s="558">
        <v>1</v>
      </c>
      <c r="AH95" s="558">
        <v>0</v>
      </c>
      <c r="AI95" s="558">
        <v>4</v>
      </c>
      <c r="AJ95" s="558">
        <v>1</v>
      </c>
      <c r="AK95" s="558">
        <v>0</v>
      </c>
      <c r="AL95" s="558">
        <v>0</v>
      </c>
      <c r="AM95" s="558">
        <v>0</v>
      </c>
      <c r="AN95" s="558">
        <v>0</v>
      </c>
      <c r="AO95" s="558">
        <v>0</v>
      </c>
      <c r="AP95" s="558">
        <v>0</v>
      </c>
      <c r="AQ95" s="558">
        <v>0</v>
      </c>
      <c r="AR95" s="558">
        <v>0</v>
      </c>
      <c r="AS95" s="558">
        <v>0</v>
      </c>
      <c r="AT95" s="558">
        <v>0</v>
      </c>
      <c r="AU95" s="558">
        <v>0</v>
      </c>
      <c r="AV95" s="558">
        <v>0</v>
      </c>
      <c r="AW95" s="558">
        <v>0</v>
      </c>
      <c r="AX95" s="558">
        <v>0</v>
      </c>
      <c r="AY95" s="558">
        <v>0</v>
      </c>
      <c r="AZ95" s="558">
        <v>0</v>
      </c>
      <c r="BA95" s="558">
        <v>0</v>
      </c>
      <c r="BB95" s="558">
        <v>0</v>
      </c>
      <c r="BC95" s="558">
        <v>0</v>
      </c>
      <c r="BD95" s="558">
        <v>0</v>
      </c>
      <c r="BE95" s="558">
        <v>0</v>
      </c>
      <c r="BF95" s="558">
        <v>0</v>
      </c>
      <c r="BG95" s="558">
        <v>0</v>
      </c>
      <c r="BH95" s="558">
        <v>0</v>
      </c>
      <c r="BI95" s="536"/>
      <c r="BJ95" s="559">
        <v>0</v>
      </c>
      <c r="BK95" s="559">
        <v>0</v>
      </c>
      <c r="BL95" s="536"/>
      <c r="BM95" s="559">
        <v>0</v>
      </c>
      <c r="BN95" s="559">
        <v>0</v>
      </c>
      <c r="BO95" s="559">
        <v>0</v>
      </c>
      <c r="BP95" s="559">
        <v>0</v>
      </c>
      <c r="BQ95" s="559">
        <v>0</v>
      </c>
      <c r="BR95" s="559">
        <v>0</v>
      </c>
      <c r="BS95" s="559">
        <v>0</v>
      </c>
      <c r="BT95" s="536"/>
      <c r="BU95" s="559">
        <v>0</v>
      </c>
      <c r="BV95" s="559">
        <v>0</v>
      </c>
      <c r="BW95" s="559">
        <v>0</v>
      </c>
      <c r="BX95" s="559">
        <v>0</v>
      </c>
      <c r="BY95" s="559">
        <v>0</v>
      </c>
      <c r="BZ95" s="559">
        <v>0</v>
      </c>
      <c r="CA95" s="545">
        <v>0</v>
      </c>
      <c r="CB95" s="545">
        <v>0</v>
      </c>
      <c r="CC95" s="536"/>
      <c r="CK95" s="559" t="s">
        <v>896</v>
      </c>
      <c r="CL95" s="559" t="s">
        <v>896</v>
      </c>
      <c r="CM95" s="559" t="s">
        <v>896</v>
      </c>
      <c r="CN95" s="559">
        <v>1</v>
      </c>
      <c r="CO95" s="559" t="s">
        <v>896</v>
      </c>
      <c r="CP95" s="559">
        <v>1</v>
      </c>
      <c r="CQ95" s="559" t="s">
        <v>896</v>
      </c>
      <c r="CR95" s="544" t="s">
        <v>499</v>
      </c>
    </row>
    <row r="96" spans="1:96" s="539" customFormat="1" ht="15.75" thickBot="1" x14ac:dyDescent="0.25">
      <c r="A96" s="538" t="s">
        <v>776</v>
      </c>
      <c r="C96" s="540" t="s">
        <v>747</v>
      </c>
      <c r="E96" s="539">
        <v>10</v>
      </c>
      <c r="F96" s="541">
        <v>10</v>
      </c>
      <c r="G96" s="541">
        <v>12</v>
      </c>
      <c r="H96" s="541">
        <v>14</v>
      </c>
      <c r="I96" s="541">
        <v>8</v>
      </c>
      <c r="J96" s="541">
        <v>10</v>
      </c>
      <c r="K96" s="541">
        <v>12</v>
      </c>
      <c r="L96" s="541">
        <v>11</v>
      </c>
      <c r="M96" s="541">
        <v>23</v>
      </c>
      <c r="N96" s="541">
        <v>24</v>
      </c>
      <c r="O96" s="541">
        <v>15</v>
      </c>
      <c r="P96" s="541">
        <v>20</v>
      </c>
      <c r="Q96" s="541">
        <v>30</v>
      </c>
      <c r="R96" s="541">
        <v>21</v>
      </c>
      <c r="S96" s="541">
        <v>27</v>
      </c>
      <c r="T96" s="541">
        <v>13</v>
      </c>
      <c r="U96" s="541">
        <v>4</v>
      </c>
      <c r="V96" s="541">
        <v>0</v>
      </c>
      <c r="W96" s="541">
        <v>0</v>
      </c>
      <c r="X96" s="541">
        <v>0</v>
      </c>
      <c r="Y96" s="541">
        <v>0</v>
      </c>
      <c r="Z96" s="541">
        <v>0</v>
      </c>
      <c r="AA96" s="541">
        <v>6</v>
      </c>
      <c r="AB96" s="541">
        <v>7</v>
      </c>
      <c r="AC96" s="541">
        <v>17</v>
      </c>
      <c r="AD96" s="541">
        <v>8</v>
      </c>
      <c r="AE96" s="541">
        <v>7</v>
      </c>
      <c r="AF96" s="541">
        <v>13</v>
      </c>
      <c r="AG96" s="541">
        <v>15</v>
      </c>
      <c r="AH96" s="541">
        <v>10</v>
      </c>
      <c r="AI96" s="541">
        <v>7</v>
      </c>
      <c r="AJ96" s="541">
        <v>12</v>
      </c>
      <c r="AK96" s="541">
        <v>4</v>
      </c>
      <c r="AL96" s="541">
        <v>9</v>
      </c>
      <c r="AM96" s="541">
        <v>6</v>
      </c>
      <c r="AN96" s="541">
        <v>9</v>
      </c>
      <c r="AO96" s="541">
        <v>0</v>
      </c>
      <c r="AP96" s="541">
        <v>10</v>
      </c>
      <c r="AQ96" s="541">
        <v>0</v>
      </c>
      <c r="AR96" s="541">
        <v>7</v>
      </c>
      <c r="AS96" s="541">
        <v>0</v>
      </c>
      <c r="AT96" s="541">
        <v>0</v>
      </c>
      <c r="AU96" s="541">
        <v>0</v>
      </c>
      <c r="AV96" s="541">
        <v>0</v>
      </c>
      <c r="AW96" s="541">
        <v>0</v>
      </c>
      <c r="AX96" s="541">
        <v>0</v>
      </c>
      <c r="AY96" s="541">
        <v>0</v>
      </c>
      <c r="AZ96" s="541">
        <v>0</v>
      </c>
      <c r="BA96" s="541">
        <v>0</v>
      </c>
      <c r="BB96" s="541">
        <v>0</v>
      </c>
      <c r="BC96" s="541">
        <v>0</v>
      </c>
      <c r="BD96" s="541">
        <v>0</v>
      </c>
      <c r="BE96" s="541">
        <v>0</v>
      </c>
      <c r="BF96" s="541">
        <v>0</v>
      </c>
      <c r="BG96" s="541">
        <v>0</v>
      </c>
      <c r="BH96" s="541">
        <v>0</v>
      </c>
      <c r="BI96" s="542"/>
      <c r="BJ96" s="541">
        <v>0</v>
      </c>
      <c r="BK96" s="541">
        <v>0</v>
      </c>
      <c r="BL96" s="542"/>
      <c r="BM96" s="541">
        <v>0</v>
      </c>
      <c r="BN96" s="541">
        <v>0</v>
      </c>
      <c r="BO96" s="541">
        <v>0</v>
      </c>
      <c r="BP96" s="541">
        <v>0</v>
      </c>
      <c r="BQ96" s="541">
        <v>0</v>
      </c>
      <c r="BR96" s="541">
        <v>0</v>
      </c>
      <c r="BS96" s="541">
        <v>0</v>
      </c>
      <c r="BT96" s="542"/>
      <c r="BU96" s="541">
        <v>0</v>
      </c>
      <c r="BV96" s="541">
        <v>0</v>
      </c>
      <c r="BW96" s="541">
        <v>0</v>
      </c>
      <c r="BX96" s="541">
        <v>0</v>
      </c>
      <c r="BY96" s="541">
        <v>0</v>
      </c>
      <c r="BZ96" s="541">
        <v>0</v>
      </c>
      <c r="CA96" s="556">
        <v>0</v>
      </c>
      <c r="CB96" s="556">
        <v>0</v>
      </c>
      <c r="CC96" s="542"/>
      <c r="CK96" s="539" t="s">
        <v>896</v>
      </c>
      <c r="CL96" s="539" t="s">
        <v>896</v>
      </c>
      <c r="CM96" s="539" t="s">
        <v>896</v>
      </c>
      <c r="CN96" s="539" t="s">
        <v>896</v>
      </c>
      <c r="CO96" s="539" t="s">
        <v>896</v>
      </c>
      <c r="CP96" s="539" t="s">
        <v>896</v>
      </c>
      <c r="CQ96" s="539" t="s">
        <v>896</v>
      </c>
      <c r="CR96" s="540"/>
    </row>
    <row r="97" spans="1:96" s="559" customFormat="1" ht="14.45" customHeight="1" outlineLevel="1" x14ac:dyDescent="0.2">
      <c r="A97" s="559">
        <v>43380</v>
      </c>
      <c r="C97" s="626" t="s">
        <v>835</v>
      </c>
      <c r="D97" s="627"/>
      <c r="E97" s="627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>
        <v>8</v>
      </c>
      <c r="Q97" s="628">
        <v>0</v>
      </c>
      <c r="R97" s="628">
        <v>0</v>
      </c>
      <c r="S97" s="628">
        <v>11</v>
      </c>
      <c r="T97" s="628">
        <v>13</v>
      </c>
      <c r="U97" s="628">
        <v>4</v>
      </c>
      <c r="V97" s="629">
        <v>0</v>
      </c>
      <c r="W97" s="629">
        <v>0</v>
      </c>
      <c r="X97" s="629">
        <v>0</v>
      </c>
      <c r="Y97" s="629">
        <v>0</v>
      </c>
      <c r="Z97" s="629">
        <v>0</v>
      </c>
      <c r="AA97" s="629">
        <v>0</v>
      </c>
      <c r="AB97" s="629">
        <v>0</v>
      </c>
      <c r="AC97" s="629">
        <v>0</v>
      </c>
      <c r="AD97" s="629">
        <v>0</v>
      </c>
      <c r="AE97" s="629">
        <v>0</v>
      </c>
      <c r="AF97" s="629">
        <v>0</v>
      </c>
      <c r="AG97" s="629">
        <v>0</v>
      </c>
      <c r="AH97" s="629">
        <v>0</v>
      </c>
      <c r="AI97" s="629">
        <v>0</v>
      </c>
      <c r="AJ97" s="630">
        <v>0</v>
      </c>
      <c r="AK97" s="630">
        <v>0</v>
      </c>
      <c r="AL97" s="630">
        <v>0</v>
      </c>
      <c r="AM97" s="630">
        <v>0</v>
      </c>
      <c r="AN97" s="630">
        <v>0</v>
      </c>
      <c r="AO97" s="630">
        <v>0</v>
      </c>
      <c r="AP97" s="630">
        <v>0</v>
      </c>
      <c r="AQ97" s="630">
        <v>0</v>
      </c>
      <c r="AR97" s="630">
        <v>0</v>
      </c>
      <c r="AS97" s="630">
        <v>0</v>
      </c>
      <c r="AT97" s="630">
        <v>0</v>
      </c>
      <c r="AU97" s="630">
        <v>0</v>
      </c>
      <c r="AV97" s="630">
        <v>0</v>
      </c>
      <c r="AW97" s="630">
        <v>0</v>
      </c>
      <c r="AX97" s="630">
        <v>0</v>
      </c>
      <c r="AY97" s="630">
        <v>0</v>
      </c>
      <c r="AZ97" s="630">
        <v>0</v>
      </c>
      <c r="BA97" s="630">
        <v>0</v>
      </c>
      <c r="BB97" s="630">
        <v>0</v>
      </c>
      <c r="BC97" s="630">
        <v>0</v>
      </c>
      <c r="BD97" s="630">
        <v>0</v>
      </c>
      <c r="BE97" s="630">
        <v>0</v>
      </c>
      <c r="BF97" s="630">
        <v>0</v>
      </c>
      <c r="BG97" s="630">
        <v>0</v>
      </c>
      <c r="BH97" s="630">
        <v>0</v>
      </c>
      <c r="BI97" s="542"/>
      <c r="BJ97" s="631">
        <v>0</v>
      </c>
      <c r="BK97" s="631">
        <v>0</v>
      </c>
      <c r="BL97" s="542"/>
      <c r="BM97" s="631">
        <v>0</v>
      </c>
      <c r="BN97" s="631">
        <v>0</v>
      </c>
      <c r="BO97" s="631">
        <v>0</v>
      </c>
      <c r="BP97" s="631">
        <v>0</v>
      </c>
      <c r="BQ97" s="631">
        <v>0</v>
      </c>
      <c r="BR97" s="631">
        <v>0</v>
      </c>
      <c r="BS97" s="559">
        <v>0</v>
      </c>
      <c r="BT97" s="542"/>
      <c r="BU97" s="631">
        <v>0</v>
      </c>
      <c r="BV97" s="631">
        <v>0</v>
      </c>
      <c r="BW97" s="631">
        <v>0</v>
      </c>
      <c r="BX97" s="631">
        <v>0</v>
      </c>
      <c r="BY97" s="631">
        <v>0</v>
      </c>
      <c r="BZ97" s="631">
        <v>0</v>
      </c>
      <c r="CA97" s="545">
        <v>0</v>
      </c>
      <c r="CB97" s="545">
        <v>0</v>
      </c>
      <c r="CC97" s="542"/>
      <c r="CK97" s="559" t="s">
        <v>896</v>
      </c>
      <c r="CL97" s="559" t="s">
        <v>896</v>
      </c>
      <c r="CM97" s="559" t="s">
        <v>896</v>
      </c>
      <c r="CN97" s="559">
        <v>2</v>
      </c>
      <c r="CO97" s="559">
        <v>3</v>
      </c>
      <c r="CP97" s="559">
        <v>1</v>
      </c>
      <c r="CQ97" s="559" t="s">
        <v>896</v>
      </c>
      <c r="CR97" s="544" t="s">
        <v>499</v>
      </c>
    </row>
    <row r="98" spans="1:96" s="559" customFormat="1" ht="14.45" customHeight="1" outlineLevel="1" thickBot="1" x14ac:dyDescent="0.25">
      <c r="A98" s="559">
        <v>40386</v>
      </c>
      <c r="C98" s="560" t="s">
        <v>836</v>
      </c>
      <c r="E98" s="559">
        <v>10</v>
      </c>
      <c r="F98" s="562">
        <v>10</v>
      </c>
      <c r="G98" s="559">
        <v>12</v>
      </c>
      <c r="H98" s="559">
        <v>14</v>
      </c>
      <c r="I98" s="559">
        <v>8</v>
      </c>
      <c r="J98" s="559">
        <v>10</v>
      </c>
      <c r="K98" s="559">
        <v>12</v>
      </c>
      <c r="L98" s="559">
        <v>11</v>
      </c>
      <c r="M98" s="559">
        <v>23</v>
      </c>
      <c r="N98" s="559">
        <v>24</v>
      </c>
      <c r="O98" s="559">
        <v>15</v>
      </c>
      <c r="P98" s="559">
        <v>12</v>
      </c>
      <c r="Q98" s="559">
        <v>30</v>
      </c>
      <c r="R98" s="559">
        <v>21</v>
      </c>
      <c r="S98" s="559">
        <v>16</v>
      </c>
      <c r="T98" s="559">
        <v>0</v>
      </c>
      <c r="U98" s="559">
        <v>0</v>
      </c>
      <c r="V98" s="558">
        <v>0</v>
      </c>
      <c r="W98" s="558">
        <v>0</v>
      </c>
      <c r="X98" s="558">
        <v>0</v>
      </c>
      <c r="Y98" s="558">
        <v>0</v>
      </c>
      <c r="Z98" s="558">
        <v>0</v>
      </c>
      <c r="AA98" s="558">
        <v>6</v>
      </c>
      <c r="AB98" s="558">
        <v>7</v>
      </c>
      <c r="AC98" s="558">
        <v>17</v>
      </c>
      <c r="AD98" s="558">
        <v>8</v>
      </c>
      <c r="AE98" s="558">
        <v>7</v>
      </c>
      <c r="AF98" s="558">
        <v>13</v>
      </c>
      <c r="AG98" s="558">
        <v>15</v>
      </c>
      <c r="AH98" s="558">
        <v>10</v>
      </c>
      <c r="AI98" s="558">
        <v>7</v>
      </c>
      <c r="AJ98" s="558">
        <v>12</v>
      </c>
      <c r="AK98" s="558">
        <v>4</v>
      </c>
      <c r="AL98" s="558">
        <v>9</v>
      </c>
      <c r="AM98" s="558">
        <v>6</v>
      </c>
      <c r="AN98" s="558">
        <v>9</v>
      </c>
      <c r="AO98" s="558">
        <v>0</v>
      </c>
      <c r="AP98" s="558">
        <v>10</v>
      </c>
      <c r="AQ98" s="558">
        <v>0</v>
      </c>
      <c r="AR98" s="558">
        <v>7</v>
      </c>
      <c r="AS98" s="558">
        <v>0</v>
      </c>
      <c r="AT98" s="558">
        <v>0</v>
      </c>
      <c r="AU98" s="558">
        <v>0</v>
      </c>
      <c r="AV98" s="558">
        <v>0</v>
      </c>
      <c r="AW98" s="558">
        <v>0</v>
      </c>
      <c r="AX98" s="558">
        <v>0</v>
      </c>
      <c r="AY98" s="558">
        <v>0</v>
      </c>
      <c r="AZ98" s="558">
        <v>0</v>
      </c>
      <c r="BA98" s="558">
        <v>0</v>
      </c>
      <c r="BB98" s="558">
        <v>0</v>
      </c>
      <c r="BC98" s="558">
        <v>0</v>
      </c>
      <c r="BD98" s="558">
        <v>0</v>
      </c>
      <c r="BE98" s="558">
        <v>0</v>
      </c>
      <c r="BF98" s="558">
        <v>0</v>
      </c>
      <c r="BG98" s="558">
        <v>0</v>
      </c>
      <c r="BH98" s="558">
        <v>0</v>
      </c>
      <c r="BI98" s="536"/>
      <c r="BJ98" s="559">
        <v>0</v>
      </c>
      <c r="BK98" s="559">
        <v>0</v>
      </c>
      <c r="BL98" s="536"/>
      <c r="BM98" s="559">
        <v>0</v>
      </c>
      <c r="BN98" s="559">
        <v>0</v>
      </c>
      <c r="BO98" s="559">
        <v>0</v>
      </c>
      <c r="BP98" s="559">
        <v>0</v>
      </c>
      <c r="BQ98" s="559">
        <v>0</v>
      </c>
      <c r="BR98" s="559">
        <v>0</v>
      </c>
      <c r="BS98" s="559">
        <v>0</v>
      </c>
      <c r="BT98" s="536"/>
      <c r="BU98" s="559">
        <v>0</v>
      </c>
      <c r="BV98" s="559">
        <v>0</v>
      </c>
      <c r="BW98" s="559">
        <v>0</v>
      </c>
      <c r="BX98" s="559">
        <v>0</v>
      </c>
      <c r="BY98" s="559">
        <v>0</v>
      </c>
      <c r="BZ98" s="559">
        <v>0</v>
      </c>
      <c r="CA98" s="545">
        <v>0</v>
      </c>
      <c r="CB98" s="545">
        <v>0</v>
      </c>
      <c r="CC98" s="536"/>
      <c r="CK98" s="559" t="s">
        <v>896</v>
      </c>
      <c r="CL98" s="559" t="s">
        <v>896</v>
      </c>
      <c r="CM98" s="559">
        <v>4</v>
      </c>
      <c r="CN98" s="559">
        <v>2</v>
      </c>
      <c r="CO98" s="559" t="s">
        <v>896</v>
      </c>
      <c r="CP98" s="559" t="s">
        <v>896</v>
      </c>
      <c r="CQ98" s="559" t="s">
        <v>896</v>
      </c>
      <c r="CR98" s="544" t="s">
        <v>499</v>
      </c>
    </row>
    <row r="99" spans="1:96" s="554" customFormat="1" ht="15.75" thickBot="1" x14ac:dyDescent="0.25">
      <c r="A99" s="553" t="s">
        <v>776</v>
      </c>
      <c r="C99" s="555" t="s">
        <v>837</v>
      </c>
      <c r="E99" s="554">
        <v>75</v>
      </c>
      <c r="F99" s="554">
        <v>96</v>
      </c>
      <c r="G99" s="554">
        <v>88</v>
      </c>
      <c r="H99" s="554">
        <v>110</v>
      </c>
      <c r="I99" s="554">
        <v>74</v>
      </c>
      <c r="J99" s="554">
        <v>97</v>
      </c>
      <c r="K99" s="554">
        <v>75</v>
      </c>
      <c r="L99" s="554">
        <v>88</v>
      </c>
      <c r="M99" s="554">
        <v>74</v>
      </c>
      <c r="N99" s="554">
        <v>79</v>
      </c>
      <c r="O99" s="554">
        <v>101</v>
      </c>
      <c r="P99" s="554">
        <v>90</v>
      </c>
      <c r="Q99" s="554">
        <v>102</v>
      </c>
      <c r="R99" s="554">
        <v>106</v>
      </c>
      <c r="S99" s="554">
        <v>125</v>
      </c>
      <c r="T99" s="554">
        <v>121</v>
      </c>
      <c r="U99" s="554">
        <v>116</v>
      </c>
      <c r="V99" s="554">
        <v>122</v>
      </c>
      <c r="W99" s="554">
        <v>91</v>
      </c>
      <c r="X99" s="554">
        <v>136</v>
      </c>
      <c r="Y99" s="554">
        <v>126</v>
      </c>
      <c r="Z99" s="554">
        <v>116</v>
      </c>
      <c r="AA99" s="554">
        <v>117</v>
      </c>
      <c r="AB99" s="554">
        <v>110</v>
      </c>
      <c r="AC99" s="554">
        <v>101</v>
      </c>
      <c r="AD99" s="554">
        <v>112</v>
      </c>
      <c r="AE99" s="554">
        <v>106</v>
      </c>
      <c r="AF99" s="554">
        <v>109</v>
      </c>
      <c r="AG99" s="554">
        <v>116</v>
      </c>
      <c r="AH99" s="554">
        <v>134</v>
      </c>
      <c r="AI99" s="554">
        <v>144</v>
      </c>
      <c r="AJ99" s="554">
        <v>131</v>
      </c>
      <c r="AK99" s="554">
        <v>105</v>
      </c>
      <c r="AL99" s="554">
        <v>127</v>
      </c>
      <c r="AM99" s="554">
        <v>128</v>
      </c>
      <c r="AN99" s="554">
        <v>120</v>
      </c>
      <c r="AO99" s="554">
        <v>127</v>
      </c>
      <c r="AP99" s="554">
        <v>90</v>
      </c>
      <c r="AQ99" s="554">
        <v>84</v>
      </c>
      <c r="AR99" s="554">
        <v>99</v>
      </c>
      <c r="AS99" s="554">
        <v>70</v>
      </c>
      <c r="AT99" s="554">
        <v>75</v>
      </c>
      <c r="AU99" s="554">
        <v>68</v>
      </c>
      <c r="AV99" s="554">
        <v>38</v>
      </c>
      <c r="AW99" s="554">
        <v>47</v>
      </c>
      <c r="AX99" s="554">
        <v>20</v>
      </c>
      <c r="AY99" s="554">
        <v>21</v>
      </c>
      <c r="AZ99" s="554">
        <v>16</v>
      </c>
      <c r="BA99" s="554">
        <v>14</v>
      </c>
      <c r="BB99" s="554">
        <v>5</v>
      </c>
      <c r="BC99" s="554">
        <v>7</v>
      </c>
      <c r="BD99" s="554">
        <v>8</v>
      </c>
      <c r="BE99" s="554">
        <v>9</v>
      </c>
      <c r="BF99" s="554">
        <v>4</v>
      </c>
      <c r="BG99" s="554">
        <v>4</v>
      </c>
      <c r="BH99" s="554">
        <v>6</v>
      </c>
      <c r="BI99" s="542"/>
      <c r="BJ99" s="556">
        <v>7</v>
      </c>
      <c r="BK99" s="556">
        <v>-1</v>
      </c>
      <c r="BL99" s="542"/>
      <c r="BM99" s="556">
        <v>5</v>
      </c>
      <c r="BN99" s="556">
        <v>8</v>
      </c>
      <c r="BO99" s="556">
        <v>8</v>
      </c>
      <c r="BP99" s="556">
        <v>8</v>
      </c>
      <c r="BQ99" s="556">
        <v>8</v>
      </c>
      <c r="BR99" s="556">
        <v>8</v>
      </c>
      <c r="BS99" s="556">
        <v>83</v>
      </c>
      <c r="BT99" s="542"/>
      <c r="BU99" s="556">
        <v>3</v>
      </c>
      <c r="BV99" s="556">
        <v>3</v>
      </c>
      <c r="BW99" s="556">
        <v>3</v>
      </c>
      <c r="BX99" s="556">
        <v>3</v>
      </c>
      <c r="BY99" s="556">
        <v>3</v>
      </c>
      <c r="BZ99" s="556">
        <v>0</v>
      </c>
      <c r="CA99" s="556">
        <v>15</v>
      </c>
      <c r="CB99" s="556">
        <v>30</v>
      </c>
      <c r="CC99" s="542"/>
      <c r="CK99" s="554" t="s">
        <v>896</v>
      </c>
      <c r="CL99" s="554" t="s">
        <v>896</v>
      </c>
      <c r="CM99" s="554" t="s">
        <v>896</v>
      </c>
      <c r="CN99" s="554" t="s">
        <v>896</v>
      </c>
      <c r="CO99" s="554" t="s">
        <v>896</v>
      </c>
      <c r="CP99" s="554" t="s">
        <v>896</v>
      </c>
      <c r="CQ99" s="554" t="s">
        <v>896</v>
      </c>
      <c r="CR99" s="555"/>
    </row>
    <row r="100" spans="1:96" s="559" customFormat="1" outlineLevel="1" x14ac:dyDescent="0.2">
      <c r="A100" s="559">
        <v>39826</v>
      </c>
      <c r="C100" s="560" t="s">
        <v>838</v>
      </c>
      <c r="F100" s="562"/>
      <c r="Y100" s="558">
        <v>3</v>
      </c>
      <c r="Z100" s="558">
        <v>2</v>
      </c>
      <c r="AA100" s="558">
        <v>2</v>
      </c>
      <c r="AB100" s="558">
        <v>3</v>
      </c>
      <c r="AC100" s="558" t="s">
        <v>896</v>
      </c>
      <c r="AD100" s="558">
        <v>2</v>
      </c>
      <c r="AE100" s="558" t="s">
        <v>896</v>
      </c>
      <c r="AF100" s="558" t="s">
        <v>896</v>
      </c>
      <c r="AG100" s="558" t="s">
        <v>896</v>
      </c>
      <c r="AH100" s="558" t="s">
        <v>896</v>
      </c>
      <c r="AI100" s="558">
        <v>1</v>
      </c>
      <c r="AJ100" s="558">
        <v>2</v>
      </c>
      <c r="AK100" s="558" t="s">
        <v>896</v>
      </c>
      <c r="AL100" s="558" t="s">
        <v>896</v>
      </c>
      <c r="AM100" s="558" t="s">
        <v>896</v>
      </c>
      <c r="AN100" s="558" t="s">
        <v>896</v>
      </c>
      <c r="AO100" s="558" t="s">
        <v>896</v>
      </c>
      <c r="AP100" s="558" t="s">
        <v>896</v>
      </c>
      <c r="AQ100" s="558" t="s">
        <v>896</v>
      </c>
      <c r="AR100" s="558" t="s">
        <v>896</v>
      </c>
      <c r="AS100" s="558" t="s">
        <v>896</v>
      </c>
      <c r="AT100" s="558" t="s">
        <v>896</v>
      </c>
      <c r="AU100" s="558" t="s">
        <v>896</v>
      </c>
      <c r="AV100" s="558" t="s">
        <v>896</v>
      </c>
      <c r="AW100" s="558" t="s">
        <v>896</v>
      </c>
      <c r="AX100" s="558" t="s">
        <v>896</v>
      </c>
      <c r="AY100" s="558" t="s">
        <v>896</v>
      </c>
      <c r="AZ100" s="558" t="s">
        <v>896</v>
      </c>
      <c r="BA100" s="558" t="s">
        <v>896</v>
      </c>
      <c r="BB100" s="558" t="s">
        <v>896</v>
      </c>
      <c r="BC100" s="558" t="s">
        <v>896</v>
      </c>
      <c r="BD100" s="558" t="s">
        <v>896</v>
      </c>
      <c r="BE100" s="558" t="s">
        <v>896</v>
      </c>
      <c r="BF100" s="558" t="s">
        <v>896</v>
      </c>
      <c r="BG100" s="558" t="s">
        <v>896</v>
      </c>
      <c r="BH100" s="558" t="s">
        <v>896</v>
      </c>
      <c r="BI100" s="536"/>
      <c r="BJ100" s="559">
        <v>0</v>
      </c>
      <c r="BK100" s="559">
        <v>0</v>
      </c>
      <c r="BL100" s="536"/>
      <c r="BM100" s="559">
        <v>0</v>
      </c>
      <c r="BN100" s="559">
        <v>0</v>
      </c>
      <c r="BO100" s="559">
        <v>0</v>
      </c>
      <c r="BP100" s="559">
        <v>0</v>
      </c>
      <c r="BQ100" s="559">
        <v>0</v>
      </c>
      <c r="BR100" s="559">
        <v>0</v>
      </c>
      <c r="BS100" s="559">
        <v>0</v>
      </c>
      <c r="BT100" s="536"/>
      <c r="BU100" s="559">
        <v>0</v>
      </c>
      <c r="BV100" s="559">
        <v>0</v>
      </c>
      <c r="BW100" s="559">
        <v>0</v>
      </c>
      <c r="BX100" s="559">
        <v>0</v>
      </c>
      <c r="BY100" s="559">
        <v>0</v>
      </c>
      <c r="BZ100" s="559">
        <v>0</v>
      </c>
      <c r="CA100" s="545">
        <v>0</v>
      </c>
      <c r="CB100" s="545">
        <v>0</v>
      </c>
      <c r="CC100" s="536"/>
      <c r="CR100" s="544" t="s">
        <v>499</v>
      </c>
    </row>
    <row r="101" spans="1:96" s="559" customFormat="1" ht="14.45" customHeight="1" outlineLevel="1" x14ac:dyDescent="0.2">
      <c r="A101" s="559">
        <v>48108</v>
      </c>
      <c r="C101" s="560" t="s">
        <v>839</v>
      </c>
      <c r="E101" s="559">
        <v>1</v>
      </c>
      <c r="F101" s="562">
        <v>3</v>
      </c>
      <c r="Q101" s="559">
        <v>0</v>
      </c>
      <c r="R101" s="559">
        <v>0</v>
      </c>
      <c r="S101" s="559">
        <v>0</v>
      </c>
      <c r="T101" s="559">
        <v>0</v>
      </c>
      <c r="U101" s="559">
        <v>0</v>
      </c>
      <c r="V101" s="558">
        <v>0</v>
      </c>
      <c r="W101" s="558">
        <v>0</v>
      </c>
      <c r="X101" s="558">
        <v>0</v>
      </c>
      <c r="Y101" s="558">
        <v>0</v>
      </c>
      <c r="Z101" s="558">
        <v>0</v>
      </c>
      <c r="AA101" s="558">
        <v>0</v>
      </c>
      <c r="AB101" s="558">
        <v>0</v>
      </c>
      <c r="AC101" s="558">
        <v>0</v>
      </c>
      <c r="AD101" s="558">
        <v>0</v>
      </c>
      <c r="AE101" s="558">
        <v>0</v>
      </c>
      <c r="AF101" s="558">
        <v>0</v>
      </c>
      <c r="AG101" s="558">
        <v>0</v>
      </c>
      <c r="AH101" s="558">
        <v>0</v>
      </c>
      <c r="AI101" s="558">
        <v>0</v>
      </c>
      <c r="AJ101" s="563">
        <v>0</v>
      </c>
      <c r="AK101" s="563">
        <v>0</v>
      </c>
      <c r="AL101" s="563">
        <v>0</v>
      </c>
      <c r="AM101" s="563">
        <v>0</v>
      </c>
      <c r="AN101" s="563">
        <v>0</v>
      </c>
      <c r="AO101" s="563">
        <v>0</v>
      </c>
      <c r="AP101" s="563">
        <v>0</v>
      </c>
      <c r="AQ101" s="563">
        <v>0</v>
      </c>
      <c r="AR101" s="563">
        <v>0</v>
      </c>
      <c r="AS101" s="563">
        <v>0</v>
      </c>
      <c r="AT101" s="563">
        <v>0</v>
      </c>
      <c r="AU101" s="563">
        <v>0</v>
      </c>
      <c r="AV101" s="563">
        <v>0</v>
      </c>
      <c r="AW101" s="563">
        <v>0</v>
      </c>
      <c r="AX101" s="563">
        <v>0</v>
      </c>
      <c r="AY101" s="563">
        <v>0</v>
      </c>
      <c r="AZ101" s="563">
        <v>0</v>
      </c>
      <c r="BA101" s="563">
        <v>0</v>
      </c>
      <c r="BB101" s="563">
        <v>0</v>
      </c>
      <c r="BC101" s="563">
        <v>0</v>
      </c>
      <c r="BD101" s="563">
        <v>0</v>
      </c>
      <c r="BE101" s="563">
        <v>3</v>
      </c>
      <c r="BF101" s="563">
        <v>1</v>
      </c>
      <c r="BG101" s="563">
        <v>0</v>
      </c>
      <c r="BH101" s="563">
        <v>0</v>
      </c>
      <c r="BI101" s="536"/>
      <c r="BJ101" s="559">
        <v>0</v>
      </c>
      <c r="BK101" s="559">
        <v>0</v>
      </c>
      <c r="BL101" s="536"/>
      <c r="BM101" s="559">
        <v>0</v>
      </c>
      <c r="BN101" s="559">
        <v>0</v>
      </c>
      <c r="BO101" s="559">
        <v>0</v>
      </c>
      <c r="BP101" s="559">
        <v>0</v>
      </c>
      <c r="BQ101" s="559">
        <v>0</v>
      </c>
      <c r="BR101" s="559">
        <v>0</v>
      </c>
      <c r="BS101" s="559">
        <v>4</v>
      </c>
      <c r="BT101" s="536"/>
      <c r="BU101" s="559">
        <v>0</v>
      </c>
      <c r="BV101" s="559">
        <v>0</v>
      </c>
      <c r="BW101" s="559">
        <v>0</v>
      </c>
      <c r="BX101" s="559">
        <v>0</v>
      </c>
      <c r="BY101" s="559">
        <v>0</v>
      </c>
      <c r="BZ101" s="559">
        <v>0</v>
      </c>
      <c r="CA101" s="545">
        <v>0</v>
      </c>
      <c r="CB101" s="545">
        <v>0</v>
      </c>
      <c r="CC101" s="536"/>
      <c r="CK101" s="559" t="s">
        <v>896</v>
      </c>
      <c r="CL101" s="559" t="s">
        <v>896</v>
      </c>
      <c r="CM101" s="559" t="s">
        <v>896</v>
      </c>
      <c r="CN101" s="559" t="s">
        <v>896</v>
      </c>
      <c r="CO101" s="559" t="s">
        <v>896</v>
      </c>
      <c r="CP101" s="559" t="s">
        <v>896</v>
      </c>
      <c r="CQ101" s="559" t="s">
        <v>896</v>
      </c>
      <c r="CR101" s="544" t="s">
        <v>499</v>
      </c>
    </row>
    <row r="102" spans="1:96" s="559" customFormat="1" ht="14.45" customHeight="1" outlineLevel="1" x14ac:dyDescent="0.2">
      <c r="A102" s="559">
        <v>47704</v>
      </c>
      <c r="C102" s="560" t="s">
        <v>840</v>
      </c>
      <c r="E102" s="559">
        <v>1</v>
      </c>
      <c r="F102" s="562">
        <v>0</v>
      </c>
      <c r="G102" s="559">
        <v>1</v>
      </c>
      <c r="H102" s="559">
        <v>2</v>
      </c>
      <c r="Q102" s="559">
        <v>0</v>
      </c>
      <c r="R102" s="559">
        <v>0</v>
      </c>
      <c r="S102" s="559">
        <v>0</v>
      </c>
      <c r="T102" s="559">
        <v>0</v>
      </c>
      <c r="U102" s="559">
        <v>0</v>
      </c>
      <c r="V102" s="558">
        <v>0</v>
      </c>
      <c r="W102" s="558">
        <v>0</v>
      </c>
      <c r="X102" s="558">
        <v>0</v>
      </c>
      <c r="Y102" s="558">
        <v>0</v>
      </c>
      <c r="Z102" s="558">
        <v>0</v>
      </c>
      <c r="AA102" s="558">
        <v>0</v>
      </c>
      <c r="AB102" s="558">
        <v>0</v>
      </c>
      <c r="AC102" s="558">
        <v>0</v>
      </c>
      <c r="AD102" s="558">
        <v>0</v>
      </c>
      <c r="AE102" s="558">
        <v>0</v>
      </c>
      <c r="AF102" s="558">
        <v>0</v>
      </c>
      <c r="AG102" s="558">
        <v>0</v>
      </c>
      <c r="AH102" s="558">
        <v>0</v>
      </c>
      <c r="AI102" s="558">
        <v>0</v>
      </c>
      <c r="AJ102" s="563">
        <v>0</v>
      </c>
      <c r="AK102" s="563">
        <v>0</v>
      </c>
      <c r="AL102" s="563">
        <v>0</v>
      </c>
      <c r="AM102" s="563">
        <v>0</v>
      </c>
      <c r="AN102" s="563">
        <v>0</v>
      </c>
      <c r="AO102" s="563">
        <v>0</v>
      </c>
      <c r="AP102" s="563">
        <v>0</v>
      </c>
      <c r="AQ102" s="563">
        <v>0</v>
      </c>
      <c r="AR102" s="563">
        <v>0</v>
      </c>
      <c r="AS102" s="563">
        <v>0</v>
      </c>
      <c r="AT102" s="563">
        <v>1</v>
      </c>
      <c r="AU102" s="563">
        <v>0</v>
      </c>
      <c r="AV102" s="563">
        <v>1</v>
      </c>
      <c r="AW102" s="563">
        <v>0</v>
      </c>
      <c r="AX102" s="563">
        <v>0</v>
      </c>
      <c r="AY102" s="563">
        <v>1</v>
      </c>
      <c r="AZ102" s="563">
        <v>1</v>
      </c>
      <c r="BA102" s="563">
        <v>1</v>
      </c>
      <c r="BB102" s="563">
        <v>0</v>
      </c>
      <c r="BC102" s="563">
        <v>0</v>
      </c>
      <c r="BD102" s="563">
        <v>1</v>
      </c>
      <c r="BE102" s="563">
        <v>0</v>
      </c>
      <c r="BF102" s="563">
        <v>0</v>
      </c>
      <c r="BG102" s="563">
        <v>1</v>
      </c>
      <c r="BH102" s="563">
        <v>0</v>
      </c>
      <c r="BI102" s="536"/>
      <c r="BJ102" s="559">
        <v>0</v>
      </c>
      <c r="BK102" s="559">
        <v>0</v>
      </c>
      <c r="BL102" s="536"/>
      <c r="BM102" s="559">
        <v>0</v>
      </c>
      <c r="BN102" s="559">
        <v>0</v>
      </c>
      <c r="BO102" s="559">
        <v>0</v>
      </c>
      <c r="BP102" s="559">
        <v>0</v>
      </c>
      <c r="BQ102" s="559">
        <v>0</v>
      </c>
      <c r="BR102" s="559">
        <v>0</v>
      </c>
      <c r="BS102" s="559">
        <v>2</v>
      </c>
      <c r="BT102" s="536"/>
      <c r="BU102" s="559">
        <v>0</v>
      </c>
      <c r="BV102" s="559">
        <v>0</v>
      </c>
      <c r="BW102" s="559">
        <v>0</v>
      </c>
      <c r="BX102" s="559">
        <v>0</v>
      </c>
      <c r="BY102" s="559">
        <v>0</v>
      </c>
      <c r="BZ102" s="559">
        <v>0</v>
      </c>
      <c r="CA102" s="545">
        <v>0</v>
      </c>
      <c r="CB102" s="545">
        <v>0</v>
      </c>
      <c r="CC102" s="536"/>
      <c r="CK102" s="559" t="s">
        <v>896</v>
      </c>
      <c r="CL102" s="559" t="s">
        <v>896</v>
      </c>
      <c r="CM102" s="559" t="s">
        <v>896</v>
      </c>
      <c r="CN102" s="559" t="s">
        <v>896</v>
      </c>
      <c r="CO102" s="559" t="s">
        <v>896</v>
      </c>
      <c r="CP102" s="559" t="s">
        <v>896</v>
      </c>
      <c r="CQ102" s="559" t="s">
        <v>896</v>
      </c>
      <c r="CR102" s="544" t="s">
        <v>499</v>
      </c>
    </row>
    <row r="103" spans="1:96" s="559" customFormat="1" ht="14.45" customHeight="1" outlineLevel="1" x14ac:dyDescent="0.2">
      <c r="A103" s="559">
        <v>40097</v>
      </c>
      <c r="C103" s="560" t="s">
        <v>841</v>
      </c>
      <c r="F103" s="562"/>
      <c r="Q103" s="559">
        <v>0</v>
      </c>
      <c r="R103" s="559">
        <v>0</v>
      </c>
      <c r="S103" s="559">
        <v>0</v>
      </c>
      <c r="T103" s="559">
        <v>0</v>
      </c>
      <c r="U103" s="559">
        <v>0</v>
      </c>
      <c r="V103" s="558">
        <v>0</v>
      </c>
      <c r="W103" s="558">
        <v>0</v>
      </c>
      <c r="X103" s="558">
        <v>0</v>
      </c>
      <c r="Y103" s="632">
        <v>9</v>
      </c>
      <c r="Z103" s="632">
        <v>0</v>
      </c>
      <c r="AA103" s="632">
        <v>1</v>
      </c>
      <c r="AB103" s="632">
        <v>0</v>
      </c>
      <c r="AC103" s="632">
        <v>1</v>
      </c>
      <c r="AD103" s="632">
        <v>3</v>
      </c>
      <c r="AE103" s="632">
        <v>4</v>
      </c>
      <c r="AF103" s="632">
        <v>1</v>
      </c>
      <c r="AG103" s="632">
        <v>2</v>
      </c>
      <c r="AH103" s="632">
        <v>3</v>
      </c>
      <c r="AI103" s="632">
        <v>3</v>
      </c>
      <c r="AJ103" s="633">
        <v>5</v>
      </c>
      <c r="AK103" s="633">
        <v>0</v>
      </c>
      <c r="AL103" s="633">
        <v>0</v>
      </c>
      <c r="AM103" s="633">
        <v>0</v>
      </c>
      <c r="AN103" s="633">
        <v>0</v>
      </c>
      <c r="AO103" s="633">
        <v>0</v>
      </c>
      <c r="AP103" s="633">
        <v>0</v>
      </c>
      <c r="AQ103" s="633">
        <v>0</v>
      </c>
      <c r="AR103" s="633">
        <v>0</v>
      </c>
      <c r="AS103" s="633">
        <v>0</v>
      </c>
      <c r="AT103" s="633">
        <v>0</v>
      </c>
      <c r="AU103" s="633">
        <v>0</v>
      </c>
      <c r="AV103" s="633">
        <v>0</v>
      </c>
      <c r="AW103" s="633">
        <v>0</v>
      </c>
      <c r="AX103" s="633">
        <v>0</v>
      </c>
      <c r="AY103" s="633">
        <v>0</v>
      </c>
      <c r="AZ103" s="633">
        <v>0</v>
      </c>
      <c r="BA103" s="633">
        <v>0</v>
      </c>
      <c r="BB103" s="633">
        <v>0</v>
      </c>
      <c r="BC103" s="633">
        <v>0</v>
      </c>
      <c r="BD103" s="633">
        <v>0</v>
      </c>
      <c r="BE103" s="633">
        <v>0</v>
      </c>
      <c r="BF103" s="633">
        <v>0</v>
      </c>
      <c r="BG103" s="633">
        <v>0</v>
      </c>
      <c r="BH103" s="633">
        <v>0</v>
      </c>
      <c r="BI103" s="536"/>
      <c r="BJ103" s="559">
        <v>0</v>
      </c>
      <c r="BK103" s="559">
        <v>0</v>
      </c>
      <c r="BL103" s="536"/>
      <c r="BM103" s="559">
        <v>0</v>
      </c>
      <c r="BN103" s="559">
        <v>0</v>
      </c>
      <c r="BO103" s="559">
        <v>0</v>
      </c>
      <c r="BP103" s="559">
        <v>0</v>
      </c>
      <c r="BQ103" s="559">
        <v>0</v>
      </c>
      <c r="BR103" s="559">
        <v>0</v>
      </c>
      <c r="BS103" s="559">
        <v>0</v>
      </c>
      <c r="BT103" s="536"/>
      <c r="BU103" s="559">
        <v>0</v>
      </c>
      <c r="BV103" s="559">
        <v>0</v>
      </c>
      <c r="BW103" s="559">
        <v>0</v>
      </c>
      <c r="BX103" s="559">
        <v>0</v>
      </c>
      <c r="BY103" s="559">
        <v>0</v>
      </c>
      <c r="BZ103" s="559">
        <v>0</v>
      </c>
      <c r="CA103" s="545">
        <v>0</v>
      </c>
      <c r="CB103" s="545">
        <v>0</v>
      </c>
      <c r="CC103" s="536"/>
      <c r="CK103" s="559" t="s">
        <v>896</v>
      </c>
      <c r="CL103" s="559" t="s">
        <v>896</v>
      </c>
      <c r="CM103" s="559" t="s">
        <v>896</v>
      </c>
      <c r="CN103" s="559" t="s">
        <v>896</v>
      </c>
      <c r="CO103" s="559" t="s">
        <v>896</v>
      </c>
      <c r="CP103" s="559" t="s">
        <v>896</v>
      </c>
      <c r="CQ103" s="559" t="s">
        <v>896</v>
      </c>
      <c r="CR103" s="544" t="s">
        <v>499</v>
      </c>
    </row>
    <row r="104" spans="1:96" s="559" customFormat="1" ht="14.45" customHeight="1" outlineLevel="1" x14ac:dyDescent="0.2">
      <c r="A104" s="559">
        <v>42630</v>
      </c>
      <c r="C104" s="560" t="s">
        <v>842</v>
      </c>
      <c r="F104" s="562"/>
      <c r="H104" s="559">
        <v>1</v>
      </c>
      <c r="J104" s="559">
        <v>2</v>
      </c>
      <c r="M104" s="559">
        <v>1</v>
      </c>
      <c r="Q104" s="559">
        <v>0</v>
      </c>
      <c r="R104" s="559">
        <v>0</v>
      </c>
      <c r="S104" s="559">
        <v>0</v>
      </c>
      <c r="T104" s="559">
        <v>0</v>
      </c>
      <c r="U104" s="559">
        <v>0</v>
      </c>
      <c r="V104" s="558">
        <v>0</v>
      </c>
      <c r="W104" s="558">
        <v>0</v>
      </c>
      <c r="X104" s="558">
        <v>0</v>
      </c>
      <c r="Y104" s="632">
        <v>0</v>
      </c>
      <c r="Z104" s="632">
        <v>0</v>
      </c>
      <c r="AA104" s="632">
        <v>0</v>
      </c>
      <c r="AB104" s="632">
        <v>0</v>
      </c>
      <c r="AC104" s="632">
        <v>0</v>
      </c>
      <c r="AD104" s="632">
        <v>0</v>
      </c>
      <c r="AE104" s="632">
        <v>0</v>
      </c>
      <c r="AF104" s="632">
        <v>0</v>
      </c>
      <c r="AG104" s="632">
        <v>0</v>
      </c>
      <c r="AH104" s="632">
        <v>0</v>
      </c>
      <c r="AI104" s="632">
        <v>0</v>
      </c>
      <c r="AJ104" s="633">
        <v>0</v>
      </c>
      <c r="AK104" s="633">
        <v>0</v>
      </c>
      <c r="AL104" s="633">
        <v>0</v>
      </c>
      <c r="AM104" s="633">
        <v>0</v>
      </c>
      <c r="AN104" s="633">
        <v>0</v>
      </c>
      <c r="AO104" s="633">
        <v>0</v>
      </c>
      <c r="AP104" s="633">
        <v>0</v>
      </c>
      <c r="AQ104" s="633">
        <v>0</v>
      </c>
      <c r="AR104" s="633">
        <v>0</v>
      </c>
      <c r="AS104" s="633">
        <v>0</v>
      </c>
      <c r="AT104" s="633">
        <v>0</v>
      </c>
      <c r="AU104" s="633">
        <v>0</v>
      </c>
      <c r="AV104" s="633">
        <v>0</v>
      </c>
      <c r="AW104" s="633">
        <v>0</v>
      </c>
      <c r="AX104" s="633">
        <v>0</v>
      </c>
      <c r="AY104" s="633">
        <v>0</v>
      </c>
      <c r="AZ104" s="633">
        <v>0</v>
      </c>
      <c r="BA104" s="633">
        <v>0</v>
      </c>
      <c r="BB104" s="633">
        <v>0</v>
      </c>
      <c r="BC104" s="633">
        <v>0</v>
      </c>
      <c r="BD104" s="633">
        <v>0</v>
      </c>
      <c r="BE104" s="633">
        <v>0</v>
      </c>
      <c r="BF104" s="633">
        <v>0</v>
      </c>
      <c r="BG104" s="633">
        <v>0</v>
      </c>
      <c r="BH104" s="633">
        <v>0</v>
      </c>
      <c r="BI104" s="536"/>
      <c r="BJ104" s="559">
        <v>0</v>
      </c>
      <c r="BK104" s="559">
        <v>0</v>
      </c>
      <c r="BL104" s="536"/>
      <c r="BM104" s="559">
        <v>0</v>
      </c>
      <c r="BN104" s="559">
        <v>0</v>
      </c>
      <c r="BO104" s="559">
        <v>0</v>
      </c>
      <c r="BP104" s="559">
        <v>0</v>
      </c>
      <c r="BQ104" s="559">
        <v>0</v>
      </c>
      <c r="BR104" s="559">
        <v>0</v>
      </c>
      <c r="BS104" s="559">
        <v>0</v>
      </c>
      <c r="BT104" s="536"/>
      <c r="BU104" s="559">
        <v>0</v>
      </c>
      <c r="BV104" s="559">
        <v>0</v>
      </c>
      <c r="BW104" s="559">
        <v>0</v>
      </c>
      <c r="BX104" s="559">
        <v>0</v>
      </c>
      <c r="BY104" s="559">
        <v>0</v>
      </c>
      <c r="BZ104" s="559">
        <v>0</v>
      </c>
      <c r="CA104" s="545">
        <v>0</v>
      </c>
      <c r="CB104" s="545">
        <v>0</v>
      </c>
      <c r="CC104" s="536"/>
      <c r="CK104" s="559" t="s">
        <v>896</v>
      </c>
      <c r="CL104" s="559" t="s">
        <v>896</v>
      </c>
      <c r="CM104" s="559" t="s">
        <v>896</v>
      </c>
      <c r="CN104" s="559" t="s">
        <v>896</v>
      </c>
      <c r="CO104" s="559" t="s">
        <v>896</v>
      </c>
      <c r="CP104" s="559" t="s">
        <v>896</v>
      </c>
      <c r="CQ104" s="559" t="s">
        <v>896</v>
      </c>
      <c r="CR104" s="544" t="s">
        <v>499</v>
      </c>
    </row>
    <row r="105" spans="1:96" s="559" customFormat="1" ht="14.45" customHeight="1" outlineLevel="1" x14ac:dyDescent="0.2">
      <c r="A105" s="559">
        <v>47753</v>
      </c>
      <c r="C105" s="560" t="s">
        <v>843</v>
      </c>
      <c r="F105" s="562"/>
      <c r="V105" s="558"/>
      <c r="W105" s="558"/>
      <c r="X105" s="558"/>
      <c r="Y105" s="632"/>
      <c r="Z105" s="632"/>
      <c r="AA105" s="632"/>
      <c r="AB105" s="632"/>
      <c r="AC105" s="632"/>
      <c r="AD105" s="632"/>
      <c r="AE105" s="632"/>
      <c r="AF105" s="632"/>
      <c r="AG105" s="632"/>
      <c r="AH105" s="632"/>
      <c r="AI105" s="632"/>
      <c r="AJ105" s="633"/>
      <c r="AK105" s="633"/>
      <c r="AL105" s="633"/>
      <c r="AM105" s="633"/>
      <c r="AN105" s="633"/>
      <c r="AO105" s="633"/>
      <c r="AP105" s="633"/>
      <c r="AQ105" s="633"/>
      <c r="AR105" s="633"/>
      <c r="AS105" s="633"/>
      <c r="AT105" s="633">
        <v>1</v>
      </c>
      <c r="AU105" s="633">
        <v>0</v>
      </c>
      <c r="AV105" s="633">
        <v>0</v>
      </c>
      <c r="AW105" s="633">
        <v>0</v>
      </c>
      <c r="AX105" s="633">
        <v>0</v>
      </c>
      <c r="AY105" s="633">
        <v>0</v>
      </c>
      <c r="AZ105" s="633">
        <v>0</v>
      </c>
      <c r="BA105" s="633">
        <v>0</v>
      </c>
      <c r="BB105" s="633">
        <v>0</v>
      </c>
      <c r="BC105" s="633">
        <v>1</v>
      </c>
      <c r="BD105" s="633">
        <v>0</v>
      </c>
      <c r="BE105" s="633">
        <v>2</v>
      </c>
      <c r="BF105" s="633">
        <v>0</v>
      </c>
      <c r="BG105" s="633">
        <v>0</v>
      </c>
      <c r="BH105" s="633">
        <v>1</v>
      </c>
      <c r="BI105" s="536"/>
      <c r="BJ105" s="559">
        <v>1</v>
      </c>
      <c r="BK105" s="559">
        <v>0</v>
      </c>
      <c r="BL105" s="536"/>
      <c r="BM105" s="559">
        <v>0</v>
      </c>
      <c r="BN105" s="559">
        <v>0</v>
      </c>
      <c r="BO105" s="559">
        <v>0</v>
      </c>
      <c r="BP105" s="559">
        <v>0</v>
      </c>
      <c r="BQ105" s="559">
        <v>0</v>
      </c>
      <c r="BR105" s="559">
        <v>0</v>
      </c>
      <c r="BS105" s="559">
        <v>4</v>
      </c>
      <c r="BT105" s="536"/>
      <c r="BU105" s="559">
        <v>0</v>
      </c>
      <c r="BV105" s="559">
        <v>0</v>
      </c>
      <c r="BW105" s="559">
        <v>0</v>
      </c>
      <c r="BX105" s="559">
        <v>0</v>
      </c>
      <c r="BY105" s="559">
        <v>0</v>
      </c>
      <c r="BZ105" s="559">
        <v>0</v>
      </c>
      <c r="CA105" s="545">
        <v>0</v>
      </c>
      <c r="CB105" s="545">
        <v>0</v>
      </c>
      <c r="CC105" s="536"/>
      <c r="CR105" s="544" t="s">
        <v>499</v>
      </c>
    </row>
    <row r="106" spans="1:96" s="559" customFormat="1" ht="14.45" customHeight="1" outlineLevel="1" x14ac:dyDescent="0.2">
      <c r="A106" s="559">
        <v>40592</v>
      </c>
      <c r="C106" s="560" t="s">
        <v>844</v>
      </c>
      <c r="F106" s="562"/>
      <c r="H106" s="559">
        <v>1</v>
      </c>
      <c r="J106" s="559">
        <v>2</v>
      </c>
      <c r="M106" s="559">
        <v>1</v>
      </c>
      <c r="Q106" s="559">
        <v>0</v>
      </c>
      <c r="R106" s="559">
        <v>0</v>
      </c>
      <c r="S106" s="559">
        <v>0</v>
      </c>
      <c r="T106" s="559">
        <v>0</v>
      </c>
      <c r="U106" s="559">
        <v>0</v>
      </c>
      <c r="V106" s="558">
        <v>0</v>
      </c>
      <c r="W106" s="558">
        <v>0</v>
      </c>
      <c r="X106" s="558">
        <v>0</v>
      </c>
      <c r="Y106" s="632">
        <v>0</v>
      </c>
      <c r="Z106" s="632">
        <v>0</v>
      </c>
      <c r="AA106" s="632">
        <v>0</v>
      </c>
      <c r="AB106" s="632">
        <v>0</v>
      </c>
      <c r="AC106" s="632">
        <v>0</v>
      </c>
      <c r="AD106" s="632">
        <v>0</v>
      </c>
      <c r="AE106" s="632">
        <v>0</v>
      </c>
      <c r="AF106" s="632">
        <v>0</v>
      </c>
      <c r="AG106" s="632">
        <v>0</v>
      </c>
      <c r="AH106" s="632">
        <v>0</v>
      </c>
      <c r="AI106" s="632">
        <v>0</v>
      </c>
      <c r="AJ106" s="633">
        <v>0</v>
      </c>
      <c r="AK106" s="633">
        <v>0</v>
      </c>
      <c r="AL106" s="633">
        <v>0</v>
      </c>
      <c r="AM106" s="633">
        <v>0</v>
      </c>
      <c r="AN106" s="633">
        <v>0</v>
      </c>
      <c r="AO106" s="633">
        <v>0</v>
      </c>
      <c r="AP106" s="633">
        <v>0</v>
      </c>
      <c r="AQ106" s="633">
        <v>1</v>
      </c>
      <c r="AR106" s="633">
        <v>0</v>
      </c>
      <c r="AS106" s="633">
        <v>0</v>
      </c>
      <c r="AT106" s="633">
        <v>0</v>
      </c>
      <c r="AU106" s="633">
        <v>0</v>
      </c>
      <c r="AV106" s="633">
        <v>0</v>
      </c>
      <c r="AW106" s="633">
        <v>0</v>
      </c>
      <c r="AX106" s="633">
        <v>0</v>
      </c>
      <c r="AY106" s="633">
        <v>0</v>
      </c>
      <c r="AZ106" s="633">
        <v>0</v>
      </c>
      <c r="BA106" s="633">
        <v>0</v>
      </c>
      <c r="BB106" s="633">
        <v>0</v>
      </c>
      <c r="BC106" s="633">
        <v>0</v>
      </c>
      <c r="BD106" s="633">
        <v>0</v>
      </c>
      <c r="BE106" s="633">
        <v>0</v>
      </c>
      <c r="BF106" s="633">
        <v>0</v>
      </c>
      <c r="BG106" s="633">
        <v>0</v>
      </c>
      <c r="BH106" s="633">
        <v>0</v>
      </c>
      <c r="BI106" s="536"/>
      <c r="BJ106" s="559">
        <v>0</v>
      </c>
      <c r="BK106" s="559">
        <v>0</v>
      </c>
      <c r="BL106" s="536"/>
      <c r="BM106" s="559">
        <v>0</v>
      </c>
      <c r="BN106" s="559">
        <v>0</v>
      </c>
      <c r="BO106" s="559">
        <v>0</v>
      </c>
      <c r="BP106" s="559">
        <v>0</v>
      </c>
      <c r="BQ106" s="559">
        <v>0</v>
      </c>
      <c r="BR106" s="559">
        <v>0</v>
      </c>
      <c r="BS106" s="559">
        <v>0</v>
      </c>
      <c r="BT106" s="536"/>
      <c r="BU106" s="559">
        <v>0</v>
      </c>
      <c r="BV106" s="559">
        <v>0</v>
      </c>
      <c r="BW106" s="559">
        <v>0</v>
      </c>
      <c r="BX106" s="559">
        <v>0</v>
      </c>
      <c r="BY106" s="559">
        <v>0</v>
      </c>
      <c r="BZ106" s="559">
        <v>0</v>
      </c>
      <c r="CA106" s="545">
        <v>0</v>
      </c>
      <c r="CB106" s="545">
        <v>0</v>
      </c>
      <c r="CC106" s="536"/>
      <c r="CK106" s="559" t="s">
        <v>896</v>
      </c>
      <c r="CL106" s="559" t="s">
        <v>896</v>
      </c>
      <c r="CM106" s="559" t="s">
        <v>896</v>
      </c>
      <c r="CN106" s="559" t="s">
        <v>896</v>
      </c>
      <c r="CO106" s="559" t="s">
        <v>896</v>
      </c>
      <c r="CP106" s="559" t="s">
        <v>896</v>
      </c>
      <c r="CQ106" s="559" t="s">
        <v>896</v>
      </c>
      <c r="CR106" s="544" t="s">
        <v>499</v>
      </c>
    </row>
    <row r="107" spans="1:96" s="559" customFormat="1" ht="14.45" customHeight="1" outlineLevel="1" x14ac:dyDescent="0.2">
      <c r="A107" s="559">
        <v>47969</v>
      </c>
      <c r="C107" s="560" t="s">
        <v>845</v>
      </c>
      <c r="F107" s="562"/>
      <c r="V107" s="558"/>
      <c r="W107" s="558"/>
      <c r="X107" s="558"/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3"/>
      <c r="AK107" s="633"/>
      <c r="AL107" s="633"/>
      <c r="AM107" s="633"/>
      <c r="AN107" s="633"/>
      <c r="AO107" s="633"/>
      <c r="AP107" s="633"/>
      <c r="AQ107" s="633">
        <v>0</v>
      </c>
      <c r="AR107" s="633">
        <v>0</v>
      </c>
      <c r="AS107" s="633">
        <v>0</v>
      </c>
      <c r="AT107" s="633">
        <v>0</v>
      </c>
      <c r="AU107" s="633">
        <v>0</v>
      </c>
      <c r="AV107" s="633">
        <v>0</v>
      </c>
      <c r="AW107" s="633">
        <v>0</v>
      </c>
      <c r="AX107" s="633">
        <v>1</v>
      </c>
      <c r="AY107" s="633">
        <v>0</v>
      </c>
      <c r="AZ107" s="633">
        <v>1</v>
      </c>
      <c r="BA107" s="633">
        <v>0</v>
      </c>
      <c r="BB107" s="633">
        <v>0</v>
      </c>
      <c r="BC107" s="633">
        <v>0</v>
      </c>
      <c r="BD107" s="633">
        <v>1</v>
      </c>
      <c r="BE107" s="633">
        <v>0</v>
      </c>
      <c r="BF107" s="633">
        <v>0</v>
      </c>
      <c r="BG107" s="633">
        <v>0</v>
      </c>
      <c r="BH107" s="633">
        <v>1</v>
      </c>
      <c r="BI107" s="536"/>
      <c r="BJ107" s="559">
        <v>2</v>
      </c>
      <c r="BK107" s="559">
        <v>-1</v>
      </c>
      <c r="BL107" s="536"/>
      <c r="BM107" s="559">
        <v>0</v>
      </c>
      <c r="BN107" s="559">
        <v>0</v>
      </c>
      <c r="BO107" s="559">
        <v>0</v>
      </c>
      <c r="BP107" s="559">
        <v>0</v>
      </c>
      <c r="BQ107" s="559">
        <v>0</v>
      </c>
      <c r="BR107" s="559">
        <v>0</v>
      </c>
      <c r="BS107" s="559">
        <v>2</v>
      </c>
      <c r="BT107" s="536"/>
      <c r="BU107" s="559">
        <v>0</v>
      </c>
      <c r="BV107" s="559">
        <v>0</v>
      </c>
      <c r="BW107" s="559">
        <v>0</v>
      </c>
      <c r="BX107" s="559">
        <v>0</v>
      </c>
      <c r="BY107" s="559">
        <v>0</v>
      </c>
      <c r="BZ107" s="559">
        <v>0</v>
      </c>
      <c r="CA107" s="545">
        <v>0</v>
      </c>
      <c r="CB107" s="545">
        <v>0</v>
      </c>
      <c r="CC107" s="536"/>
      <c r="CR107" s="544" t="s">
        <v>499</v>
      </c>
    </row>
    <row r="108" spans="1:96" s="559" customFormat="1" outlineLevel="1" x14ac:dyDescent="0.2">
      <c r="A108" s="559">
        <v>40048</v>
      </c>
      <c r="C108" s="560" t="s">
        <v>846</v>
      </c>
      <c r="F108" s="562"/>
      <c r="V108" s="558"/>
      <c r="W108" s="558"/>
      <c r="X108" s="558"/>
      <c r="Y108" s="558"/>
      <c r="Z108" s="558">
        <v>2</v>
      </c>
      <c r="AA108" s="558" t="s">
        <v>896</v>
      </c>
      <c r="AB108" s="558" t="s">
        <v>896</v>
      </c>
      <c r="AC108" s="558" t="s">
        <v>896</v>
      </c>
      <c r="AD108" s="558" t="s">
        <v>896</v>
      </c>
      <c r="AE108" s="558" t="s">
        <v>896</v>
      </c>
      <c r="AF108" s="558" t="s">
        <v>896</v>
      </c>
      <c r="AG108" s="558">
        <v>7</v>
      </c>
      <c r="AH108" s="558">
        <v>3</v>
      </c>
      <c r="AI108" s="558">
        <v>2</v>
      </c>
      <c r="AJ108" s="563">
        <v>1</v>
      </c>
      <c r="AK108" s="563" t="s">
        <v>896</v>
      </c>
      <c r="AL108" s="563" t="s">
        <v>896</v>
      </c>
      <c r="AM108" s="563" t="s">
        <v>896</v>
      </c>
      <c r="AN108" s="563" t="s">
        <v>896</v>
      </c>
      <c r="AO108" s="563" t="s">
        <v>896</v>
      </c>
      <c r="AP108" s="563" t="s">
        <v>896</v>
      </c>
      <c r="AQ108" s="563" t="s">
        <v>896</v>
      </c>
      <c r="AR108" s="563" t="s">
        <v>896</v>
      </c>
      <c r="AS108" s="563" t="s">
        <v>896</v>
      </c>
      <c r="AT108" s="563" t="s">
        <v>896</v>
      </c>
      <c r="AU108" s="563" t="s">
        <v>896</v>
      </c>
      <c r="AV108" s="563" t="s">
        <v>896</v>
      </c>
      <c r="AW108" s="563" t="s">
        <v>896</v>
      </c>
      <c r="AX108" s="563" t="s">
        <v>896</v>
      </c>
      <c r="AY108" s="563" t="s">
        <v>896</v>
      </c>
      <c r="AZ108" s="563" t="s">
        <v>896</v>
      </c>
      <c r="BA108" s="563" t="s">
        <v>896</v>
      </c>
      <c r="BB108" s="563" t="s">
        <v>896</v>
      </c>
      <c r="BC108" s="563" t="s">
        <v>896</v>
      </c>
      <c r="BD108" s="563" t="s">
        <v>896</v>
      </c>
      <c r="BE108" s="563" t="s">
        <v>896</v>
      </c>
      <c r="BF108" s="563" t="s">
        <v>896</v>
      </c>
      <c r="BG108" s="563" t="s">
        <v>896</v>
      </c>
      <c r="BH108" s="563" t="s">
        <v>896</v>
      </c>
      <c r="BI108" s="536"/>
      <c r="BJ108" s="559">
        <v>0</v>
      </c>
      <c r="BK108" s="559">
        <v>0</v>
      </c>
      <c r="BL108" s="536"/>
      <c r="BM108" s="559">
        <v>0</v>
      </c>
      <c r="BN108" s="559">
        <v>0</v>
      </c>
      <c r="BO108" s="559">
        <v>0</v>
      </c>
      <c r="BP108" s="559">
        <v>0</v>
      </c>
      <c r="BQ108" s="559">
        <v>0</v>
      </c>
      <c r="BR108" s="559">
        <v>0</v>
      </c>
      <c r="BS108" s="559">
        <v>0</v>
      </c>
      <c r="BT108" s="536"/>
      <c r="BU108" s="559">
        <v>0</v>
      </c>
      <c r="BV108" s="559">
        <v>0</v>
      </c>
      <c r="BW108" s="559">
        <v>0</v>
      </c>
      <c r="BX108" s="559">
        <v>0</v>
      </c>
      <c r="BY108" s="559">
        <v>0</v>
      </c>
      <c r="BZ108" s="559">
        <v>0</v>
      </c>
      <c r="CA108" s="545">
        <v>0</v>
      </c>
      <c r="CB108" s="545">
        <v>0</v>
      </c>
      <c r="CC108" s="536"/>
      <c r="CO108" s="558"/>
      <c r="CP108" s="558"/>
      <c r="CQ108" s="558"/>
      <c r="CR108" s="544" t="s">
        <v>499</v>
      </c>
    </row>
    <row r="109" spans="1:96" s="559" customFormat="1" ht="14.45" customHeight="1" outlineLevel="1" x14ac:dyDescent="0.2">
      <c r="A109" s="559">
        <v>39958</v>
      </c>
      <c r="C109" s="560" t="s">
        <v>847</v>
      </c>
      <c r="E109" s="559">
        <v>19</v>
      </c>
      <c r="F109" s="562">
        <v>18</v>
      </c>
      <c r="G109" s="559">
        <v>25</v>
      </c>
      <c r="H109" s="559">
        <v>30</v>
      </c>
      <c r="I109" s="559">
        <v>10</v>
      </c>
      <c r="J109" s="559">
        <v>25</v>
      </c>
      <c r="K109" s="559">
        <v>14</v>
      </c>
      <c r="L109" s="559">
        <v>17</v>
      </c>
      <c r="M109" s="559">
        <v>14</v>
      </c>
      <c r="N109" s="559">
        <v>13</v>
      </c>
      <c r="O109" s="559">
        <v>16</v>
      </c>
      <c r="P109" s="559">
        <v>16</v>
      </c>
      <c r="Q109" s="559">
        <v>16</v>
      </c>
      <c r="R109" s="559">
        <v>15</v>
      </c>
      <c r="S109" s="559">
        <v>19</v>
      </c>
      <c r="T109" s="559">
        <v>20</v>
      </c>
      <c r="U109" s="559">
        <v>16</v>
      </c>
      <c r="V109" s="558">
        <v>10</v>
      </c>
      <c r="W109" s="558">
        <v>10</v>
      </c>
      <c r="X109" s="558">
        <v>23</v>
      </c>
      <c r="Y109" s="632">
        <v>15</v>
      </c>
      <c r="Z109" s="634">
        <v>12</v>
      </c>
      <c r="AA109" s="634">
        <v>15</v>
      </c>
      <c r="AB109" s="634">
        <v>7</v>
      </c>
      <c r="AC109" s="634">
        <v>13</v>
      </c>
      <c r="AD109" s="634">
        <v>16</v>
      </c>
      <c r="AE109" s="634">
        <v>10</v>
      </c>
      <c r="AF109" s="634">
        <v>12</v>
      </c>
      <c r="AG109" s="634">
        <v>11</v>
      </c>
      <c r="AH109" s="634">
        <v>18</v>
      </c>
      <c r="AI109" s="634">
        <v>17</v>
      </c>
      <c r="AJ109" s="635">
        <v>16</v>
      </c>
      <c r="AK109" s="635">
        <v>12</v>
      </c>
      <c r="AL109" s="635">
        <v>18</v>
      </c>
      <c r="AM109" s="635">
        <v>16</v>
      </c>
      <c r="AN109" s="635">
        <v>25</v>
      </c>
      <c r="AO109" s="635">
        <v>18</v>
      </c>
      <c r="AP109" s="635">
        <v>13</v>
      </c>
      <c r="AQ109" s="635">
        <v>16</v>
      </c>
      <c r="AR109" s="635">
        <v>17</v>
      </c>
      <c r="AS109" s="635">
        <v>14</v>
      </c>
      <c r="AT109" s="635">
        <v>9</v>
      </c>
      <c r="AU109" s="635">
        <v>12</v>
      </c>
      <c r="AV109" s="635">
        <v>13</v>
      </c>
      <c r="AW109" s="635">
        <v>12</v>
      </c>
      <c r="AX109" s="635">
        <v>9</v>
      </c>
      <c r="AY109" s="635">
        <v>2</v>
      </c>
      <c r="AZ109" s="635">
        <v>1</v>
      </c>
      <c r="BA109" s="635">
        <v>0</v>
      </c>
      <c r="BB109" s="635">
        <v>1</v>
      </c>
      <c r="BC109" s="635">
        <v>2</v>
      </c>
      <c r="BD109" s="635">
        <v>0</v>
      </c>
      <c r="BE109" s="635">
        <v>0</v>
      </c>
      <c r="BF109" s="635">
        <v>0</v>
      </c>
      <c r="BG109" s="635">
        <v>0</v>
      </c>
      <c r="BH109" s="635">
        <v>0</v>
      </c>
      <c r="BI109" s="536"/>
      <c r="BJ109" s="559">
        <v>0</v>
      </c>
      <c r="BK109" s="559">
        <v>0</v>
      </c>
      <c r="BL109" s="536"/>
      <c r="BM109" s="559">
        <v>0</v>
      </c>
      <c r="BN109" s="559">
        <v>0</v>
      </c>
      <c r="BO109" s="559">
        <v>0</v>
      </c>
      <c r="BP109" s="559">
        <v>0</v>
      </c>
      <c r="BQ109" s="559">
        <v>0</v>
      </c>
      <c r="BR109" s="559">
        <v>0</v>
      </c>
      <c r="BS109" s="559">
        <v>2</v>
      </c>
      <c r="BT109" s="536"/>
      <c r="BU109" s="559">
        <v>0</v>
      </c>
      <c r="BV109" s="559">
        <v>0</v>
      </c>
      <c r="BW109" s="559">
        <v>0</v>
      </c>
      <c r="BX109" s="559">
        <v>0</v>
      </c>
      <c r="BY109" s="559">
        <v>0</v>
      </c>
      <c r="BZ109" s="559">
        <v>0</v>
      </c>
      <c r="CA109" s="545">
        <v>0</v>
      </c>
      <c r="CB109" s="545">
        <v>0</v>
      </c>
      <c r="CC109" s="536"/>
      <c r="CK109" s="559" t="s">
        <v>896</v>
      </c>
      <c r="CL109" s="559" t="s">
        <v>896</v>
      </c>
      <c r="CM109" s="559">
        <v>6</v>
      </c>
      <c r="CN109" s="559">
        <v>6</v>
      </c>
      <c r="CO109" s="559">
        <v>7</v>
      </c>
      <c r="CP109" s="559">
        <v>7</v>
      </c>
      <c r="CQ109" s="558">
        <v>6</v>
      </c>
      <c r="CR109" s="544" t="s">
        <v>499</v>
      </c>
    </row>
    <row r="110" spans="1:96" s="559" customFormat="1" ht="14.45" customHeight="1" outlineLevel="1" x14ac:dyDescent="0.2">
      <c r="A110" s="559">
        <v>40253</v>
      </c>
      <c r="C110" s="560" t="s">
        <v>848</v>
      </c>
      <c r="E110" s="559">
        <v>30</v>
      </c>
      <c r="F110" s="562">
        <v>30</v>
      </c>
      <c r="G110" s="559">
        <v>29</v>
      </c>
      <c r="H110" s="559">
        <v>36</v>
      </c>
      <c r="I110" s="559">
        <v>33</v>
      </c>
      <c r="J110" s="559">
        <v>32</v>
      </c>
      <c r="K110" s="559">
        <v>28</v>
      </c>
      <c r="L110" s="559">
        <v>32</v>
      </c>
      <c r="M110" s="559">
        <v>38</v>
      </c>
      <c r="N110" s="559">
        <v>35</v>
      </c>
      <c r="O110" s="559">
        <v>47</v>
      </c>
      <c r="P110" s="559">
        <v>37</v>
      </c>
      <c r="Q110" s="559">
        <v>41</v>
      </c>
      <c r="R110" s="559">
        <v>22</v>
      </c>
      <c r="S110" s="559">
        <v>32</v>
      </c>
      <c r="T110" s="559">
        <v>33</v>
      </c>
      <c r="U110" s="559">
        <v>30</v>
      </c>
      <c r="V110" s="558">
        <v>45</v>
      </c>
      <c r="W110" s="558">
        <v>16</v>
      </c>
      <c r="X110" s="558">
        <v>42</v>
      </c>
      <c r="Y110" s="632">
        <v>34</v>
      </c>
      <c r="Z110" s="634">
        <v>40</v>
      </c>
      <c r="AA110" s="634">
        <v>44</v>
      </c>
      <c r="AB110" s="634">
        <v>40</v>
      </c>
      <c r="AC110" s="634">
        <v>37</v>
      </c>
      <c r="AD110" s="634">
        <v>27</v>
      </c>
      <c r="AE110" s="634">
        <v>34</v>
      </c>
      <c r="AF110" s="634">
        <v>32</v>
      </c>
      <c r="AG110" s="634">
        <v>31</v>
      </c>
      <c r="AH110" s="634">
        <v>37</v>
      </c>
      <c r="AI110" s="634">
        <v>36</v>
      </c>
      <c r="AJ110" s="635">
        <v>23</v>
      </c>
      <c r="AK110" s="635">
        <v>30</v>
      </c>
      <c r="AL110" s="635">
        <v>36</v>
      </c>
      <c r="AM110" s="635">
        <v>41</v>
      </c>
      <c r="AN110" s="635">
        <v>28</v>
      </c>
      <c r="AO110" s="635">
        <v>30</v>
      </c>
      <c r="AP110" s="635">
        <v>18</v>
      </c>
      <c r="AQ110" s="635">
        <v>36</v>
      </c>
      <c r="AR110" s="635">
        <v>45</v>
      </c>
      <c r="AS110" s="635">
        <v>29</v>
      </c>
      <c r="AT110" s="635">
        <v>31</v>
      </c>
      <c r="AU110" s="635">
        <v>43</v>
      </c>
      <c r="AV110" s="635">
        <v>13</v>
      </c>
      <c r="AW110" s="635">
        <v>18</v>
      </c>
      <c r="AX110" s="635">
        <v>10</v>
      </c>
      <c r="AY110" s="635">
        <v>11</v>
      </c>
      <c r="AZ110" s="635">
        <v>11</v>
      </c>
      <c r="BA110" s="635">
        <v>13</v>
      </c>
      <c r="BB110" s="635">
        <v>0</v>
      </c>
      <c r="BC110" s="635">
        <v>0</v>
      </c>
      <c r="BD110" s="635">
        <v>0</v>
      </c>
      <c r="BE110" s="635">
        <v>0</v>
      </c>
      <c r="BF110" s="635">
        <v>0</v>
      </c>
      <c r="BG110" s="635">
        <v>0</v>
      </c>
      <c r="BH110" s="635">
        <v>0</v>
      </c>
      <c r="BI110" s="536"/>
      <c r="BJ110" s="559">
        <v>0</v>
      </c>
      <c r="BK110" s="559">
        <v>0</v>
      </c>
      <c r="BL110" s="536"/>
      <c r="BM110" s="559">
        <v>0</v>
      </c>
      <c r="BN110" s="559">
        <v>0</v>
      </c>
      <c r="BO110" s="559">
        <v>0</v>
      </c>
      <c r="BP110" s="559">
        <v>0</v>
      </c>
      <c r="BQ110" s="559">
        <v>0</v>
      </c>
      <c r="BR110" s="559">
        <v>0</v>
      </c>
      <c r="BS110" s="559">
        <v>0</v>
      </c>
      <c r="BT110" s="536"/>
      <c r="BU110" s="559">
        <v>0</v>
      </c>
      <c r="BV110" s="559">
        <v>0</v>
      </c>
      <c r="BW110" s="559">
        <v>0</v>
      </c>
      <c r="BX110" s="559">
        <v>0</v>
      </c>
      <c r="BY110" s="559">
        <v>0</v>
      </c>
      <c r="BZ110" s="559">
        <v>0</v>
      </c>
      <c r="CA110" s="545">
        <v>0</v>
      </c>
      <c r="CB110" s="545">
        <v>0</v>
      </c>
      <c r="CC110" s="536"/>
      <c r="CK110" s="559" t="s">
        <v>896</v>
      </c>
      <c r="CL110" s="559" t="s">
        <v>896</v>
      </c>
      <c r="CM110" s="559">
        <v>4</v>
      </c>
      <c r="CN110" s="559">
        <v>7</v>
      </c>
      <c r="CO110" s="559">
        <v>7</v>
      </c>
      <c r="CP110" s="559">
        <v>6</v>
      </c>
      <c r="CQ110" s="559">
        <v>13</v>
      </c>
      <c r="CR110" s="544" t="s">
        <v>499</v>
      </c>
    </row>
    <row r="111" spans="1:96" s="559" customFormat="1" ht="14.45" customHeight="1" outlineLevel="1" x14ac:dyDescent="0.2">
      <c r="A111" s="559">
        <v>39909</v>
      </c>
      <c r="C111" s="560" t="s">
        <v>849</v>
      </c>
      <c r="E111" s="559">
        <v>24</v>
      </c>
      <c r="F111" s="562">
        <v>45</v>
      </c>
      <c r="G111" s="559">
        <v>33</v>
      </c>
      <c r="H111" s="559">
        <v>40</v>
      </c>
      <c r="I111" s="559">
        <v>31</v>
      </c>
      <c r="J111" s="559">
        <v>36</v>
      </c>
      <c r="K111" s="559">
        <v>33</v>
      </c>
      <c r="L111" s="559">
        <v>39</v>
      </c>
      <c r="M111" s="559">
        <v>20</v>
      </c>
      <c r="N111" s="559">
        <v>31</v>
      </c>
      <c r="O111" s="559">
        <v>38</v>
      </c>
      <c r="P111" s="559">
        <v>37</v>
      </c>
      <c r="Q111" s="559">
        <v>30</v>
      </c>
      <c r="R111" s="559">
        <v>44</v>
      </c>
      <c r="S111" s="559">
        <v>42</v>
      </c>
      <c r="T111" s="559">
        <v>44</v>
      </c>
      <c r="U111" s="559">
        <v>43</v>
      </c>
      <c r="V111" s="558">
        <v>29</v>
      </c>
      <c r="W111" s="558">
        <v>31</v>
      </c>
      <c r="X111" s="558">
        <v>39</v>
      </c>
      <c r="Y111" s="632">
        <v>28</v>
      </c>
      <c r="Z111" s="634">
        <v>40</v>
      </c>
      <c r="AA111" s="634">
        <v>32</v>
      </c>
      <c r="AB111" s="634">
        <v>32</v>
      </c>
      <c r="AC111" s="634">
        <v>30</v>
      </c>
      <c r="AD111" s="634">
        <v>33</v>
      </c>
      <c r="AE111" s="634">
        <v>29</v>
      </c>
      <c r="AF111" s="634">
        <v>29</v>
      </c>
      <c r="AG111" s="634">
        <v>25</v>
      </c>
      <c r="AH111" s="634">
        <v>38</v>
      </c>
      <c r="AI111" s="634">
        <v>48</v>
      </c>
      <c r="AJ111" s="635">
        <v>40</v>
      </c>
      <c r="AK111" s="635">
        <v>40</v>
      </c>
      <c r="AL111" s="635">
        <v>39</v>
      </c>
      <c r="AM111" s="635">
        <v>30</v>
      </c>
      <c r="AN111" s="635">
        <v>38</v>
      </c>
      <c r="AO111" s="635">
        <v>42</v>
      </c>
      <c r="AP111" s="635">
        <v>37</v>
      </c>
      <c r="AQ111" s="635">
        <v>31</v>
      </c>
      <c r="AR111" s="635">
        <v>37</v>
      </c>
      <c r="AS111" s="635">
        <v>27</v>
      </c>
      <c r="AT111" s="635">
        <v>33</v>
      </c>
      <c r="AU111" s="635">
        <v>13</v>
      </c>
      <c r="AV111" s="635">
        <v>11</v>
      </c>
      <c r="AW111" s="635">
        <v>17</v>
      </c>
      <c r="AX111" s="635">
        <v>0</v>
      </c>
      <c r="AY111" s="635">
        <v>7</v>
      </c>
      <c r="AZ111" s="635">
        <v>2</v>
      </c>
      <c r="BA111" s="635">
        <v>0</v>
      </c>
      <c r="BB111" s="635">
        <v>4</v>
      </c>
      <c r="BC111" s="635">
        <v>2</v>
      </c>
      <c r="BD111" s="635">
        <v>4</v>
      </c>
      <c r="BE111" s="635">
        <v>2</v>
      </c>
      <c r="BF111" s="635">
        <v>2</v>
      </c>
      <c r="BG111" s="635">
        <v>0</v>
      </c>
      <c r="BH111" s="635">
        <v>4</v>
      </c>
      <c r="BI111" s="536"/>
      <c r="BJ111" s="559">
        <v>4</v>
      </c>
      <c r="BK111" s="559">
        <v>0</v>
      </c>
      <c r="BL111" s="536"/>
      <c r="BM111" s="559">
        <v>3</v>
      </c>
      <c r="BN111" s="559">
        <v>5</v>
      </c>
      <c r="BO111" s="559">
        <v>5</v>
      </c>
      <c r="BP111" s="559">
        <v>5</v>
      </c>
      <c r="BQ111" s="559">
        <v>5</v>
      </c>
      <c r="BR111" s="559">
        <v>5</v>
      </c>
      <c r="BS111" s="559">
        <v>42</v>
      </c>
      <c r="BT111" s="536"/>
      <c r="BU111" s="559">
        <v>0</v>
      </c>
      <c r="BV111" s="559">
        <v>0</v>
      </c>
      <c r="BW111" s="559">
        <v>0</v>
      </c>
      <c r="BX111" s="559">
        <v>0</v>
      </c>
      <c r="BY111" s="559">
        <v>0</v>
      </c>
      <c r="BZ111" s="559">
        <v>0</v>
      </c>
      <c r="CA111" s="545">
        <v>0</v>
      </c>
      <c r="CB111" s="545">
        <v>0</v>
      </c>
      <c r="CC111" s="536"/>
      <c r="CK111" s="559" t="s">
        <v>896</v>
      </c>
      <c r="CL111" s="559" t="s">
        <v>896</v>
      </c>
      <c r="CM111" s="559">
        <v>10</v>
      </c>
      <c r="CN111" s="559">
        <v>8</v>
      </c>
      <c r="CO111" s="559">
        <v>9</v>
      </c>
      <c r="CP111" s="559">
        <v>10</v>
      </c>
      <c r="CQ111" s="559">
        <v>8</v>
      </c>
      <c r="CR111" s="544" t="s">
        <v>499</v>
      </c>
    </row>
    <row r="112" spans="1:96" s="559" customFormat="1" outlineLevel="1" x14ac:dyDescent="0.2">
      <c r="A112" s="559">
        <v>33605</v>
      </c>
      <c r="C112" s="560" t="s">
        <v>850</v>
      </c>
      <c r="F112" s="562"/>
      <c r="Y112" s="558"/>
      <c r="Z112" s="558" t="s">
        <v>896</v>
      </c>
      <c r="AA112" s="558" t="s">
        <v>896</v>
      </c>
      <c r="AB112" s="558" t="s">
        <v>896</v>
      </c>
      <c r="AC112" s="558" t="s">
        <v>896</v>
      </c>
      <c r="AD112" s="558" t="s">
        <v>896</v>
      </c>
      <c r="AE112" s="558" t="s">
        <v>896</v>
      </c>
      <c r="AF112" s="558" t="s">
        <v>896</v>
      </c>
      <c r="AG112" s="558" t="s">
        <v>896</v>
      </c>
      <c r="AH112" s="558" t="s">
        <v>896</v>
      </c>
      <c r="AI112" s="558" t="s">
        <v>896</v>
      </c>
      <c r="AJ112" s="563" t="s">
        <v>896</v>
      </c>
      <c r="AK112" s="563" t="s">
        <v>896</v>
      </c>
      <c r="AL112" s="563" t="s">
        <v>896</v>
      </c>
      <c r="AM112" s="563" t="s">
        <v>896</v>
      </c>
      <c r="AN112" s="563" t="s">
        <v>896</v>
      </c>
      <c r="AO112" s="563" t="s">
        <v>896</v>
      </c>
      <c r="AP112" s="563" t="s">
        <v>896</v>
      </c>
      <c r="AQ112" s="563" t="s">
        <v>896</v>
      </c>
      <c r="AR112" s="563" t="s">
        <v>896</v>
      </c>
      <c r="AS112" s="563" t="s">
        <v>896</v>
      </c>
      <c r="AT112" s="563" t="s">
        <v>896</v>
      </c>
      <c r="AU112" s="563" t="s">
        <v>896</v>
      </c>
      <c r="AV112" s="563" t="s">
        <v>896</v>
      </c>
      <c r="AW112" s="563" t="s">
        <v>896</v>
      </c>
      <c r="AX112" s="563" t="s">
        <v>896</v>
      </c>
      <c r="AY112" s="563" t="s">
        <v>896</v>
      </c>
      <c r="AZ112" s="563" t="s">
        <v>896</v>
      </c>
      <c r="BA112" s="563" t="s">
        <v>896</v>
      </c>
      <c r="BB112" s="563" t="s">
        <v>896</v>
      </c>
      <c r="BC112" s="563">
        <v>2</v>
      </c>
      <c r="BD112" s="563">
        <v>2</v>
      </c>
      <c r="BE112" s="563">
        <v>2</v>
      </c>
      <c r="BF112" s="563">
        <v>1</v>
      </c>
      <c r="BG112" s="563">
        <v>3</v>
      </c>
      <c r="BH112" s="563" t="s">
        <v>896</v>
      </c>
      <c r="BI112" s="536"/>
      <c r="BJ112" s="559">
        <v>0</v>
      </c>
      <c r="BL112" s="536"/>
      <c r="BM112" s="559">
        <v>2</v>
      </c>
      <c r="BN112" s="559">
        <v>3</v>
      </c>
      <c r="BO112" s="559">
        <v>3</v>
      </c>
      <c r="BP112" s="559">
        <v>3</v>
      </c>
      <c r="BQ112" s="559">
        <v>3</v>
      </c>
      <c r="BR112" s="559">
        <v>3</v>
      </c>
      <c r="BS112" s="559">
        <v>27</v>
      </c>
      <c r="BT112" s="536"/>
      <c r="BU112" s="559">
        <v>3</v>
      </c>
      <c r="BV112" s="559">
        <v>3</v>
      </c>
      <c r="BW112" s="559">
        <v>3</v>
      </c>
      <c r="BX112" s="559">
        <v>3</v>
      </c>
      <c r="BY112" s="559">
        <v>3</v>
      </c>
      <c r="BZ112" s="559">
        <v>0</v>
      </c>
      <c r="CA112" s="545">
        <v>15</v>
      </c>
      <c r="CB112" s="545">
        <v>30</v>
      </c>
      <c r="CC112" s="536"/>
      <c r="CR112" s="544" t="s">
        <v>499</v>
      </c>
    </row>
    <row r="113" spans="1:96" s="566" customFormat="1" outlineLevel="1" x14ac:dyDescent="0.2">
      <c r="A113" s="566">
        <v>43596</v>
      </c>
      <c r="C113" s="600" t="s">
        <v>851</v>
      </c>
      <c r="F113" s="567"/>
      <c r="Q113" s="566">
        <v>15</v>
      </c>
      <c r="R113" s="566">
        <v>25</v>
      </c>
      <c r="S113" s="566">
        <v>32</v>
      </c>
      <c r="T113" s="566">
        <v>24</v>
      </c>
      <c r="U113" s="566">
        <v>27</v>
      </c>
      <c r="V113" s="566">
        <v>38</v>
      </c>
      <c r="W113" s="566">
        <v>34</v>
      </c>
      <c r="X113" s="566">
        <v>32</v>
      </c>
      <c r="Y113" s="566">
        <v>40</v>
      </c>
      <c r="Z113" s="566">
        <v>22</v>
      </c>
      <c r="AA113" s="566">
        <v>25</v>
      </c>
      <c r="AB113" s="566">
        <v>31</v>
      </c>
      <c r="AC113" s="566">
        <v>20</v>
      </c>
      <c r="AD113" s="566">
        <v>31</v>
      </c>
      <c r="AE113" s="566">
        <v>29</v>
      </c>
      <c r="AF113" s="566">
        <v>35</v>
      </c>
      <c r="AG113" s="566">
        <v>40</v>
      </c>
      <c r="AH113" s="566">
        <v>35</v>
      </c>
      <c r="AI113" s="566">
        <v>37</v>
      </c>
      <c r="AJ113" s="608">
        <v>44</v>
      </c>
      <c r="AK113" s="608">
        <v>23</v>
      </c>
      <c r="AL113" s="608">
        <v>34</v>
      </c>
      <c r="AM113" s="608">
        <v>41</v>
      </c>
      <c r="AN113" s="608">
        <v>29</v>
      </c>
      <c r="AO113" s="608">
        <v>37</v>
      </c>
      <c r="AP113" s="608">
        <v>22</v>
      </c>
      <c r="AQ113" s="608">
        <v>0</v>
      </c>
      <c r="AR113" s="608">
        <v>0</v>
      </c>
      <c r="AS113" s="608">
        <v>0</v>
      </c>
      <c r="AT113" s="608">
        <v>0</v>
      </c>
      <c r="AU113" s="608">
        <v>0</v>
      </c>
      <c r="AV113" s="608">
        <v>0</v>
      </c>
      <c r="AW113" s="608">
        <v>0</v>
      </c>
      <c r="AX113" s="608">
        <v>0</v>
      </c>
      <c r="AY113" s="608">
        <v>0</v>
      </c>
      <c r="AZ113" s="608">
        <v>0</v>
      </c>
      <c r="BA113" s="608">
        <v>0</v>
      </c>
      <c r="BB113" s="608">
        <v>0</v>
      </c>
      <c r="BC113" s="608">
        <v>0</v>
      </c>
      <c r="BD113" s="608">
        <v>0</v>
      </c>
      <c r="BE113" s="608">
        <v>0</v>
      </c>
      <c r="BF113" s="608">
        <v>0</v>
      </c>
      <c r="BG113" s="608">
        <v>0</v>
      </c>
      <c r="BH113" s="608">
        <v>0</v>
      </c>
      <c r="BI113" s="536"/>
      <c r="BJ113" s="566">
        <v>0</v>
      </c>
      <c r="BK113" s="566">
        <v>0</v>
      </c>
      <c r="BL113" s="536"/>
      <c r="BM113" s="566">
        <v>0</v>
      </c>
      <c r="BN113" s="566">
        <v>0</v>
      </c>
      <c r="BO113" s="566">
        <v>0</v>
      </c>
      <c r="BP113" s="566">
        <v>0</v>
      </c>
      <c r="BQ113" s="566">
        <v>0</v>
      </c>
      <c r="BR113" s="566">
        <v>0</v>
      </c>
      <c r="BS113" s="566">
        <v>0</v>
      </c>
      <c r="BT113" s="536"/>
      <c r="BU113" s="566">
        <v>0</v>
      </c>
      <c r="BV113" s="566">
        <v>0</v>
      </c>
      <c r="BW113" s="566">
        <v>0</v>
      </c>
      <c r="BX113" s="566">
        <v>0</v>
      </c>
      <c r="BY113" s="566">
        <v>0</v>
      </c>
      <c r="BZ113" s="566">
        <v>0</v>
      </c>
      <c r="CA113" s="566">
        <v>0</v>
      </c>
      <c r="CB113" s="566">
        <v>0</v>
      </c>
      <c r="CC113" s="536"/>
      <c r="CM113" s="566">
        <v>7</v>
      </c>
      <c r="CN113" s="566">
        <v>9</v>
      </c>
      <c r="CO113" s="566">
        <v>6</v>
      </c>
      <c r="CP113" s="566">
        <v>8</v>
      </c>
      <c r="CQ113" s="566">
        <v>13</v>
      </c>
      <c r="CR113" s="544" t="s">
        <v>499</v>
      </c>
    </row>
    <row r="114" spans="1:96" s="559" customFormat="1" ht="15.75" thickBot="1" x14ac:dyDescent="0.25">
      <c r="C114" s="560"/>
      <c r="AJ114" s="561"/>
      <c r="AK114" s="561"/>
      <c r="AL114" s="561"/>
      <c r="AM114" s="561"/>
      <c r="AN114" s="561"/>
      <c r="AO114" s="561"/>
      <c r="AP114" s="561"/>
      <c r="AQ114" s="561"/>
      <c r="AR114" s="561"/>
      <c r="AS114" s="561"/>
      <c r="AT114" s="561"/>
      <c r="AU114" s="561"/>
      <c r="AV114" s="561"/>
      <c r="AW114" s="561"/>
      <c r="AX114" s="561"/>
      <c r="AY114" s="561"/>
      <c r="AZ114" s="561"/>
      <c r="BA114" s="561"/>
      <c r="BB114" s="561"/>
      <c r="BC114" s="561"/>
      <c r="BD114" s="561"/>
      <c r="BE114" s="561"/>
      <c r="BF114" s="561"/>
      <c r="BG114" s="561"/>
      <c r="BH114" s="561"/>
      <c r="BI114" s="536"/>
      <c r="BL114" s="536"/>
      <c r="BS114" s="562"/>
      <c r="BT114" s="536"/>
      <c r="CA114" s="562"/>
      <c r="CB114" s="562"/>
      <c r="CC114" s="536"/>
      <c r="CR114" s="560"/>
    </row>
    <row r="115" spans="1:96" s="597" customFormat="1" ht="15.75" thickBot="1" x14ac:dyDescent="0.25">
      <c r="A115" s="596" t="s">
        <v>776</v>
      </c>
      <c r="C115" s="598" t="s">
        <v>50</v>
      </c>
      <c r="E115" s="597">
        <v>0</v>
      </c>
      <c r="F115" s="597">
        <v>0</v>
      </c>
      <c r="G115" s="597">
        <v>0</v>
      </c>
      <c r="H115" s="597">
        <v>0</v>
      </c>
      <c r="I115" s="597">
        <v>0</v>
      </c>
      <c r="J115" s="597">
        <v>0</v>
      </c>
      <c r="K115" s="597">
        <v>0</v>
      </c>
      <c r="L115" s="597">
        <v>0</v>
      </c>
      <c r="M115" s="597">
        <v>0</v>
      </c>
      <c r="N115" s="597">
        <v>0</v>
      </c>
      <c r="O115" s="597">
        <v>0</v>
      </c>
      <c r="P115" s="597">
        <v>0</v>
      </c>
      <c r="Q115" s="597">
        <v>0</v>
      </c>
      <c r="R115" s="597">
        <v>0</v>
      </c>
      <c r="S115" s="597">
        <v>0</v>
      </c>
      <c r="T115" s="597">
        <v>0</v>
      </c>
      <c r="U115" s="597">
        <v>0</v>
      </c>
      <c r="V115" s="597">
        <v>0</v>
      </c>
      <c r="W115" s="597">
        <v>0</v>
      </c>
      <c r="X115" s="597">
        <v>0</v>
      </c>
      <c r="Y115" s="597">
        <v>0</v>
      </c>
      <c r="Z115" s="597">
        <v>0</v>
      </c>
      <c r="AA115" s="597">
        <v>0</v>
      </c>
      <c r="AB115" s="597">
        <v>0</v>
      </c>
      <c r="AC115" s="597">
        <v>0</v>
      </c>
      <c r="AD115" s="597">
        <v>0</v>
      </c>
      <c r="AE115" s="597">
        <v>0</v>
      </c>
      <c r="AF115" s="597">
        <v>0</v>
      </c>
      <c r="AG115" s="597">
        <v>0</v>
      </c>
      <c r="AH115" s="597">
        <v>0</v>
      </c>
      <c r="AI115" s="597">
        <v>0</v>
      </c>
      <c r="AJ115" s="597">
        <v>0</v>
      </c>
      <c r="AK115" s="597">
        <v>0</v>
      </c>
      <c r="AL115" s="597">
        <v>0</v>
      </c>
      <c r="AM115" s="597">
        <v>0</v>
      </c>
      <c r="AN115" s="597">
        <v>0</v>
      </c>
      <c r="AO115" s="597">
        <v>0</v>
      </c>
      <c r="AP115" s="597">
        <v>0</v>
      </c>
      <c r="AQ115" s="597">
        <v>0</v>
      </c>
      <c r="AR115" s="597">
        <v>0</v>
      </c>
      <c r="AS115" s="597">
        <v>0</v>
      </c>
      <c r="AT115" s="597">
        <v>0</v>
      </c>
      <c r="AU115" s="597">
        <v>0</v>
      </c>
      <c r="AV115" s="597">
        <v>0</v>
      </c>
      <c r="AW115" s="597">
        <v>0</v>
      </c>
      <c r="AX115" s="597">
        <v>0</v>
      </c>
      <c r="AY115" s="597">
        <v>0</v>
      </c>
      <c r="AZ115" s="597">
        <v>0</v>
      </c>
      <c r="BA115" s="597">
        <v>0</v>
      </c>
      <c r="BB115" s="597">
        <v>0</v>
      </c>
      <c r="BC115" s="597">
        <v>0</v>
      </c>
      <c r="BD115" s="597">
        <v>0</v>
      </c>
      <c r="BE115" s="597">
        <v>0</v>
      </c>
      <c r="BF115" s="597">
        <v>0</v>
      </c>
      <c r="BG115" s="597">
        <v>0</v>
      </c>
      <c r="BH115" s="597">
        <v>0</v>
      </c>
      <c r="BI115" s="530"/>
      <c r="BJ115" s="597">
        <v>0</v>
      </c>
      <c r="BK115" s="597">
        <v>0</v>
      </c>
      <c r="BL115" s="530"/>
      <c r="BM115" s="597">
        <v>0</v>
      </c>
      <c r="BN115" s="597">
        <v>0</v>
      </c>
      <c r="BO115" s="597">
        <v>0</v>
      </c>
      <c r="BP115" s="597">
        <v>0</v>
      </c>
      <c r="BQ115" s="597">
        <v>0</v>
      </c>
      <c r="BR115" s="597">
        <v>0</v>
      </c>
      <c r="BS115" s="597">
        <v>0</v>
      </c>
      <c r="BT115" s="530"/>
      <c r="BU115" s="597">
        <v>0</v>
      </c>
      <c r="BV115" s="597">
        <v>0</v>
      </c>
      <c r="BW115" s="597">
        <v>0</v>
      </c>
      <c r="BX115" s="597">
        <v>0</v>
      </c>
      <c r="BY115" s="597">
        <v>0</v>
      </c>
      <c r="BZ115" s="597">
        <v>0</v>
      </c>
      <c r="CA115" s="597">
        <v>0</v>
      </c>
      <c r="CB115" s="597">
        <v>0</v>
      </c>
      <c r="CC115" s="530"/>
      <c r="CK115" s="597" t="s">
        <v>896</v>
      </c>
      <c r="CL115" s="597" t="s">
        <v>896</v>
      </c>
      <c r="CM115" s="597" t="s">
        <v>896</v>
      </c>
      <c r="CN115" s="597" t="s">
        <v>896</v>
      </c>
      <c r="CO115" s="597" t="s">
        <v>896</v>
      </c>
      <c r="CP115" s="597" t="s">
        <v>896</v>
      </c>
      <c r="CQ115" s="597" t="s">
        <v>896</v>
      </c>
      <c r="CR115" s="598"/>
    </row>
    <row r="116" spans="1:96" s="602" customFormat="1" ht="15.75" thickBot="1" x14ac:dyDescent="0.25">
      <c r="A116" s="601" t="s">
        <v>776</v>
      </c>
      <c r="C116" s="603" t="s">
        <v>852</v>
      </c>
      <c r="E116" s="602">
        <v>0</v>
      </c>
      <c r="F116" s="604">
        <v>0</v>
      </c>
      <c r="G116" s="604">
        <v>1</v>
      </c>
      <c r="H116" s="604">
        <v>0</v>
      </c>
      <c r="I116" s="604">
        <v>3</v>
      </c>
      <c r="J116" s="604">
        <v>1</v>
      </c>
      <c r="K116" s="604">
        <v>3</v>
      </c>
      <c r="L116" s="604">
        <v>2</v>
      </c>
      <c r="M116" s="604">
        <v>0</v>
      </c>
      <c r="N116" s="604">
        <v>3</v>
      </c>
      <c r="O116" s="604">
        <v>1</v>
      </c>
      <c r="P116" s="604">
        <v>4</v>
      </c>
      <c r="Q116" s="604">
        <v>4</v>
      </c>
      <c r="R116" s="604">
        <v>2</v>
      </c>
      <c r="S116" s="604">
        <v>0</v>
      </c>
      <c r="T116" s="604">
        <v>4</v>
      </c>
      <c r="U116" s="604">
        <v>1</v>
      </c>
      <c r="V116" s="604">
        <v>4</v>
      </c>
      <c r="W116" s="604">
        <v>2</v>
      </c>
      <c r="X116" s="604">
        <v>4</v>
      </c>
      <c r="Y116" s="604">
        <v>3</v>
      </c>
      <c r="Z116" s="604">
        <v>7</v>
      </c>
      <c r="AA116" s="604">
        <v>0</v>
      </c>
      <c r="AB116" s="604">
        <v>4</v>
      </c>
      <c r="AC116" s="604">
        <v>3</v>
      </c>
      <c r="AD116" s="604">
        <v>1</v>
      </c>
      <c r="AE116" s="604">
        <v>0</v>
      </c>
      <c r="AF116" s="604">
        <v>3</v>
      </c>
      <c r="AG116" s="604">
        <v>1</v>
      </c>
      <c r="AH116" s="604">
        <v>2</v>
      </c>
      <c r="AI116" s="604">
        <v>4</v>
      </c>
      <c r="AJ116" s="604">
        <v>1</v>
      </c>
      <c r="AK116" s="604">
        <v>1</v>
      </c>
      <c r="AL116" s="604">
        <v>0</v>
      </c>
      <c r="AM116" s="604">
        <v>5</v>
      </c>
      <c r="AN116" s="604">
        <v>1</v>
      </c>
      <c r="AO116" s="604">
        <v>0</v>
      </c>
      <c r="AP116" s="604">
        <v>3</v>
      </c>
      <c r="AQ116" s="604">
        <v>2</v>
      </c>
      <c r="AR116" s="604">
        <v>1</v>
      </c>
      <c r="AS116" s="604">
        <v>0</v>
      </c>
      <c r="AT116" s="604">
        <v>0</v>
      </c>
      <c r="AU116" s="604">
        <v>0</v>
      </c>
      <c r="AV116" s="604">
        <v>0</v>
      </c>
      <c r="AW116" s="604">
        <v>0</v>
      </c>
      <c r="AX116" s="604">
        <v>0</v>
      </c>
      <c r="AY116" s="604">
        <v>0</v>
      </c>
      <c r="AZ116" s="604">
        <v>0</v>
      </c>
      <c r="BA116" s="604">
        <v>0</v>
      </c>
      <c r="BB116" s="604">
        <v>0</v>
      </c>
      <c r="BC116" s="604">
        <v>0</v>
      </c>
      <c r="BD116" s="604">
        <v>0</v>
      </c>
      <c r="BE116" s="604">
        <v>0</v>
      </c>
      <c r="BF116" s="604">
        <v>0</v>
      </c>
      <c r="BG116" s="604">
        <v>0</v>
      </c>
      <c r="BH116" s="604">
        <v>0</v>
      </c>
      <c r="BI116" s="542"/>
      <c r="BJ116" s="604">
        <v>0</v>
      </c>
      <c r="BK116" s="604">
        <v>0</v>
      </c>
      <c r="BL116" s="542"/>
      <c r="BM116" s="604">
        <v>0</v>
      </c>
      <c r="BN116" s="604">
        <v>0</v>
      </c>
      <c r="BO116" s="604">
        <v>0</v>
      </c>
      <c r="BP116" s="604">
        <v>0</v>
      </c>
      <c r="BQ116" s="604">
        <v>0</v>
      </c>
      <c r="BR116" s="604">
        <v>0</v>
      </c>
      <c r="BS116" s="604">
        <v>0</v>
      </c>
      <c r="BT116" s="542"/>
      <c r="BU116" s="604">
        <v>0</v>
      </c>
      <c r="BV116" s="604">
        <v>0</v>
      </c>
      <c r="BW116" s="604">
        <v>0</v>
      </c>
      <c r="BX116" s="604">
        <v>0</v>
      </c>
      <c r="BY116" s="604">
        <v>0</v>
      </c>
      <c r="BZ116" s="604">
        <v>0</v>
      </c>
      <c r="CA116" s="604">
        <v>0</v>
      </c>
      <c r="CB116" s="604">
        <v>0</v>
      </c>
      <c r="CC116" s="542"/>
      <c r="CK116" s="602" t="s">
        <v>896</v>
      </c>
      <c r="CL116" s="602" t="s">
        <v>896</v>
      </c>
      <c r="CM116" s="602" t="s">
        <v>896</v>
      </c>
      <c r="CN116" s="602" t="s">
        <v>896</v>
      </c>
      <c r="CO116" s="602" t="s">
        <v>896</v>
      </c>
      <c r="CP116" s="602" t="s">
        <v>896</v>
      </c>
      <c r="CQ116" s="602" t="s">
        <v>896</v>
      </c>
      <c r="CR116" s="603"/>
    </row>
    <row r="117" spans="1:96" s="559" customFormat="1" ht="14.45" customHeight="1" outlineLevel="1" x14ac:dyDescent="0.2">
      <c r="A117" s="559">
        <v>41814</v>
      </c>
      <c r="C117" s="560" t="s">
        <v>853</v>
      </c>
      <c r="F117" s="562"/>
      <c r="P117" s="559">
        <v>3</v>
      </c>
      <c r="Q117" s="559">
        <v>3</v>
      </c>
      <c r="R117" s="559">
        <v>0</v>
      </c>
      <c r="S117" s="559">
        <v>0</v>
      </c>
      <c r="T117" s="559">
        <v>0</v>
      </c>
      <c r="U117" s="559">
        <v>0</v>
      </c>
      <c r="V117" s="558">
        <v>2</v>
      </c>
      <c r="W117" s="558">
        <v>0</v>
      </c>
      <c r="X117" s="558">
        <v>3</v>
      </c>
      <c r="Y117" s="632">
        <v>3</v>
      </c>
      <c r="Z117" s="634">
        <v>4</v>
      </c>
      <c r="AA117" s="634">
        <v>0</v>
      </c>
      <c r="AB117" s="634">
        <v>4</v>
      </c>
      <c r="AC117" s="634">
        <v>2</v>
      </c>
      <c r="AD117" s="634">
        <v>0</v>
      </c>
      <c r="AE117" s="634">
        <v>0</v>
      </c>
      <c r="AF117" s="634">
        <v>3</v>
      </c>
      <c r="AG117" s="634">
        <v>0</v>
      </c>
      <c r="AH117" s="634">
        <v>0</v>
      </c>
      <c r="AI117" s="634">
        <v>2</v>
      </c>
      <c r="AJ117" s="635">
        <v>0</v>
      </c>
      <c r="AK117" s="635">
        <v>0</v>
      </c>
      <c r="AL117" s="635">
        <v>0</v>
      </c>
      <c r="AM117" s="635">
        <v>0</v>
      </c>
      <c r="AN117" s="635">
        <v>0</v>
      </c>
      <c r="AO117" s="635">
        <v>0</v>
      </c>
      <c r="AP117" s="635">
        <v>0</v>
      </c>
      <c r="AQ117" s="635">
        <v>0</v>
      </c>
      <c r="AR117" s="635">
        <v>0</v>
      </c>
      <c r="AS117" s="635">
        <v>0</v>
      </c>
      <c r="AT117" s="635">
        <v>0</v>
      </c>
      <c r="AU117" s="635">
        <v>0</v>
      </c>
      <c r="AV117" s="635">
        <v>0</v>
      </c>
      <c r="AW117" s="635">
        <v>0</v>
      </c>
      <c r="AX117" s="635">
        <v>0</v>
      </c>
      <c r="AY117" s="635">
        <v>0</v>
      </c>
      <c r="AZ117" s="635">
        <v>0</v>
      </c>
      <c r="BA117" s="635">
        <v>0</v>
      </c>
      <c r="BB117" s="635">
        <v>0</v>
      </c>
      <c r="BC117" s="635">
        <v>0</v>
      </c>
      <c r="BD117" s="635">
        <v>0</v>
      </c>
      <c r="BE117" s="635">
        <v>0</v>
      </c>
      <c r="BF117" s="635">
        <v>0</v>
      </c>
      <c r="BG117" s="635">
        <v>0</v>
      </c>
      <c r="BH117" s="635">
        <v>0</v>
      </c>
      <c r="BI117" s="536"/>
      <c r="BJ117" s="559">
        <v>0</v>
      </c>
      <c r="BK117" s="559">
        <v>0</v>
      </c>
      <c r="BL117" s="536"/>
      <c r="BM117" s="559">
        <v>0</v>
      </c>
      <c r="BN117" s="559">
        <v>0</v>
      </c>
      <c r="BO117" s="559">
        <v>0</v>
      </c>
      <c r="BP117" s="559">
        <v>0</v>
      </c>
      <c r="BQ117" s="559">
        <v>0</v>
      </c>
      <c r="BR117" s="559">
        <v>0</v>
      </c>
      <c r="BS117" s="559">
        <v>0</v>
      </c>
      <c r="BT117" s="536"/>
      <c r="BU117" s="559">
        <v>0</v>
      </c>
      <c r="BV117" s="559">
        <v>0</v>
      </c>
      <c r="BW117" s="559">
        <v>0</v>
      </c>
      <c r="BX117" s="559">
        <v>0</v>
      </c>
      <c r="BY117" s="559">
        <v>0</v>
      </c>
      <c r="BZ117" s="559">
        <v>0</v>
      </c>
      <c r="CA117" s="545">
        <v>0</v>
      </c>
      <c r="CB117" s="545">
        <v>0</v>
      </c>
      <c r="CC117" s="536"/>
      <c r="CK117" s="559" t="s">
        <v>896</v>
      </c>
      <c r="CL117" s="559" t="s">
        <v>896</v>
      </c>
      <c r="CM117" s="559" t="s">
        <v>896</v>
      </c>
      <c r="CN117" s="559" t="s">
        <v>896</v>
      </c>
      <c r="CO117" s="559" t="s">
        <v>896</v>
      </c>
      <c r="CP117" s="559" t="s">
        <v>896</v>
      </c>
      <c r="CQ117" s="559">
        <v>1</v>
      </c>
      <c r="CR117" s="544" t="s">
        <v>499</v>
      </c>
    </row>
    <row r="118" spans="1:96" s="559" customFormat="1" ht="14.45" customHeight="1" outlineLevel="1" x14ac:dyDescent="0.2">
      <c r="A118" s="559">
        <v>23440</v>
      </c>
      <c r="C118" s="560" t="s">
        <v>854</v>
      </c>
      <c r="E118" s="559">
        <v>0</v>
      </c>
      <c r="F118" s="562">
        <v>0</v>
      </c>
      <c r="G118" s="559">
        <v>1</v>
      </c>
      <c r="I118" s="559">
        <v>3</v>
      </c>
      <c r="J118" s="559">
        <v>1</v>
      </c>
      <c r="K118" s="559">
        <v>2</v>
      </c>
      <c r="L118" s="559">
        <v>2</v>
      </c>
      <c r="N118" s="559">
        <v>2</v>
      </c>
      <c r="O118" s="559">
        <v>1</v>
      </c>
      <c r="Q118" s="559">
        <v>0</v>
      </c>
      <c r="R118" s="559">
        <v>2</v>
      </c>
      <c r="S118" s="559">
        <v>0</v>
      </c>
      <c r="T118" s="559">
        <v>2</v>
      </c>
      <c r="U118" s="559">
        <v>0</v>
      </c>
      <c r="V118" s="558">
        <v>0</v>
      </c>
      <c r="W118" s="558">
        <v>2</v>
      </c>
      <c r="X118" s="558">
        <v>0</v>
      </c>
      <c r="Y118" s="558">
        <v>0</v>
      </c>
      <c r="Z118" s="558">
        <v>0</v>
      </c>
      <c r="AA118" s="558">
        <v>0</v>
      </c>
      <c r="AB118" s="558">
        <v>0</v>
      </c>
      <c r="AC118" s="558">
        <v>0</v>
      </c>
      <c r="AD118" s="558">
        <v>1</v>
      </c>
      <c r="AE118" s="558">
        <v>0</v>
      </c>
      <c r="AF118" s="558">
        <v>0</v>
      </c>
      <c r="AG118" s="558">
        <v>0</v>
      </c>
      <c r="AH118" s="558">
        <v>2</v>
      </c>
      <c r="AI118" s="558">
        <v>1</v>
      </c>
      <c r="AJ118" s="563">
        <v>0</v>
      </c>
      <c r="AK118" s="563">
        <v>0</v>
      </c>
      <c r="AL118" s="563">
        <v>0</v>
      </c>
      <c r="AM118" s="563">
        <v>2</v>
      </c>
      <c r="AN118" s="563">
        <v>1</v>
      </c>
      <c r="AO118" s="563">
        <v>0</v>
      </c>
      <c r="AP118" s="563">
        <v>2</v>
      </c>
      <c r="AQ118" s="563">
        <v>0</v>
      </c>
      <c r="AR118" s="563">
        <v>0</v>
      </c>
      <c r="AS118" s="563">
        <v>0</v>
      </c>
      <c r="AT118" s="563">
        <v>0</v>
      </c>
      <c r="AU118" s="563">
        <v>0</v>
      </c>
      <c r="AV118" s="563">
        <v>0</v>
      </c>
      <c r="AW118" s="563">
        <v>0</v>
      </c>
      <c r="AX118" s="563">
        <v>0</v>
      </c>
      <c r="AY118" s="563">
        <v>0</v>
      </c>
      <c r="AZ118" s="563">
        <v>0</v>
      </c>
      <c r="BA118" s="563">
        <v>0</v>
      </c>
      <c r="BB118" s="563">
        <v>0</v>
      </c>
      <c r="BC118" s="563">
        <v>0</v>
      </c>
      <c r="BD118" s="563">
        <v>0</v>
      </c>
      <c r="BE118" s="563">
        <v>0</v>
      </c>
      <c r="BF118" s="563">
        <v>0</v>
      </c>
      <c r="BG118" s="563">
        <v>0</v>
      </c>
      <c r="BH118" s="563">
        <v>0</v>
      </c>
      <c r="BI118" s="536"/>
      <c r="BJ118" s="559">
        <v>0</v>
      </c>
      <c r="BK118" s="559">
        <v>0</v>
      </c>
      <c r="BL118" s="536"/>
      <c r="BM118" s="559">
        <v>0</v>
      </c>
      <c r="BN118" s="559">
        <v>0</v>
      </c>
      <c r="BO118" s="559">
        <v>0</v>
      </c>
      <c r="BP118" s="559">
        <v>0</v>
      </c>
      <c r="BQ118" s="559">
        <v>0</v>
      </c>
      <c r="BR118" s="559">
        <v>0</v>
      </c>
      <c r="BS118" s="559">
        <v>0</v>
      </c>
      <c r="BT118" s="536"/>
      <c r="BU118" s="559">
        <v>0</v>
      </c>
      <c r="BV118" s="559">
        <v>0</v>
      </c>
      <c r="BW118" s="559">
        <v>0</v>
      </c>
      <c r="BX118" s="559">
        <v>0</v>
      </c>
      <c r="BY118" s="559">
        <v>0</v>
      </c>
      <c r="BZ118" s="559">
        <v>0</v>
      </c>
      <c r="CA118" s="545">
        <v>0</v>
      </c>
      <c r="CB118" s="545">
        <v>0</v>
      </c>
      <c r="CC118" s="536"/>
      <c r="CK118" s="559" t="s">
        <v>896</v>
      </c>
      <c r="CL118" s="559" t="s">
        <v>896</v>
      </c>
      <c r="CM118" s="559">
        <v>1</v>
      </c>
      <c r="CN118" s="559" t="s">
        <v>896</v>
      </c>
      <c r="CO118" s="559">
        <v>2</v>
      </c>
      <c r="CP118" s="559" t="s">
        <v>896</v>
      </c>
      <c r="CQ118" s="559" t="s">
        <v>896</v>
      </c>
      <c r="CR118" s="544" t="s">
        <v>499</v>
      </c>
    </row>
    <row r="119" spans="1:96" s="559" customFormat="1" ht="14.45" customHeight="1" outlineLevel="1" x14ac:dyDescent="0.2">
      <c r="A119" s="559">
        <v>41616</v>
      </c>
      <c r="C119" s="560" t="s">
        <v>855</v>
      </c>
      <c r="F119" s="562"/>
      <c r="K119" s="559">
        <v>1</v>
      </c>
      <c r="N119" s="559">
        <v>1</v>
      </c>
      <c r="P119" s="559">
        <v>1</v>
      </c>
      <c r="Q119" s="559">
        <v>1</v>
      </c>
      <c r="R119" s="559">
        <v>0</v>
      </c>
      <c r="S119" s="559">
        <v>0</v>
      </c>
      <c r="T119" s="559">
        <v>2</v>
      </c>
      <c r="U119" s="559">
        <v>1</v>
      </c>
      <c r="V119" s="558">
        <v>2</v>
      </c>
      <c r="W119" s="558">
        <v>0</v>
      </c>
      <c r="X119" s="558">
        <v>1</v>
      </c>
      <c r="Y119" s="558">
        <v>0</v>
      </c>
      <c r="Z119" s="558">
        <v>3</v>
      </c>
      <c r="AA119" s="558">
        <v>0</v>
      </c>
      <c r="AB119" s="558">
        <v>0</v>
      </c>
      <c r="AC119" s="558">
        <v>1</v>
      </c>
      <c r="AD119" s="558">
        <v>0</v>
      </c>
      <c r="AE119" s="558">
        <v>0</v>
      </c>
      <c r="AF119" s="558">
        <v>0</v>
      </c>
      <c r="AG119" s="558">
        <v>1</v>
      </c>
      <c r="AH119" s="558">
        <v>0</v>
      </c>
      <c r="AI119" s="558">
        <v>1</v>
      </c>
      <c r="AJ119" s="563">
        <v>1</v>
      </c>
      <c r="AK119" s="563">
        <v>1</v>
      </c>
      <c r="AL119" s="563">
        <v>0</v>
      </c>
      <c r="AM119" s="563">
        <v>3</v>
      </c>
      <c r="AN119" s="563">
        <v>0</v>
      </c>
      <c r="AO119" s="563">
        <v>0</v>
      </c>
      <c r="AP119" s="563">
        <v>1</v>
      </c>
      <c r="AQ119" s="563">
        <v>2</v>
      </c>
      <c r="AR119" s="563">
        <v>1</v>
      </c>
      <c r="AS119" s="563">
        <v>0</v>
      </c>
      <c r="AT119" s="563">
        <v>0</v>
      </c>
      <c r="AU119" s="563">
        <v>0</v>
      </c>
      <c r="AV119" s="563">
        <v>0</v>
      </c>
      <c r="AW119" s="563">
        <v>0</v>
      </c>
      <c r="AX119" s="563">
        <v>0</v>
      </c>
      <c r="AY119" s="563">
        <v>0</v>
      </c>
      <c r="AZ119" s="563">
        <v>0</v>
      </c>
      <c r="BA119" s="563">
        <v>0</v>
      </c>
      <c r="BB119" s="563">
        <v>0</v>
      </c>
      <c r="BC119" s="563">
        <v>0</v>
      </c>
      <c r="BD119" s="563">
        <v>0</v>
      </c>
      <c r="BE119" s="563">
        <v>0</v>
      </c>
      <c r="BF119" s="563">
        <v>0</v>
      </c>
      <c r="BG119" s="563">
        <v>0</v>
      </c>
      <c r="BH119" s="563">
        <v>0</v>
      </c>
      <c r="BI119" s="536"/>
      <c r="BJ119" s="559">
        <v>0</v>
      </c>
      <c r="BK119" s="559">
        <v>0</v>
      </c>
      <c r="BL119" s="536"/>
      <c r="BM119" s="559">
        <v>0</v>
      </c>
      <c r="BN119" s="559">
        <v>0</v>
      </c>
      <c r="BO119" s="559">
        <v>0</v>
      </c>
      <c r="BP119" s="559">
        <v>0</v>
      </c>
      <c r="BQ119" s="559">
        <v>0</v>
      </c>
      <c r="BR119" s="559">
        <v>0</v>
      </c>
      <c r="BS119" s="559">
        <v>0</v>
      </c>
      <c r="BT119" s="536"/>
      <c r="BU119" s="559">
        <v>0</v>
      </c>
      <c r="BV119" s="559">
        <v>0</v>
      </c>
      <c r="BW119" s="559">
        <v>0</v>
      </c>
      <c r="BX119" s="559">
        <v>0</v>
      </c>
      <c r="BY119" s="559">
        <v>0</v>
      </c>
      <c r="BZ119" s="559">
        <v>0</v>
      </c>
      <c r="CA119" s="545">
        <v>0</v>
      </c>
      <c r="CB119" s="545">
        <v>0</v>
      </c>
      <c r="CC119" s="536"/>
      <c r="CK119" s="559" t="s">
        <v>896</v>
      </c>
      <c r="CL119" s="559" t="s">
        <v>896</v>
      </c>
      <c r="CM119" s="559" t="s">
        <v>896</v>
      </c>
      <c r="CN119" s="559" t="s">
        <v>896</v>
      </c>
      <c r="CO119" s="559">
        <v>1</v>
      </c>
      <c r="CP119" s="559">
        <v>1</v>
      </c>
      <c r="CQ119" s="559">
        <v>2</v>
      </c>
      <c r="CR119" s="544" t="s">
        <v>499</v>
      </c>
    </row>
    <row r="120" spans="1:96" s="559" customFormat="1" ht="14.45" customHeight="1" outlineLevel="1" thickBot="1" x14ac:dyDescent="0.25">
      <c r="A120" s="559">
        <v>29637</v>
      </c>
      <c r="C120" s="560" t="s">
        <v>856</v>
      </c>
      <c r="E120" s="559">
        <v>0</v>
      </c>
      <c r="F120" s="562"/>
      <c r="Q120" s="559">
        <v>0</v>
      </c>
      <c r="R120" s="559">
        <v>0</v>
      </c>
      <c r="S120" s="559">
        <v>0</v>
      </c>
      <c r="T120" s="559">
        <v>0</v>
      </c>
      <c r="U120" s="559">
        <v>0</v>
      </c>
      <c r="V120" s="558">
        <v>0</v>
      </c>
      <c r="W120" s="558">
        <v>0</v>
      </c>
      <c r="X120" s="558">
        <v>0</v>
      </c>
      <c r="Y120" s="558">
        <v>0</v>
      </c>
      <c r="Z120" s="558">
        <v>0</v>
      </c>
      <c r="AA120" s="558">
        <v>0</v>
      </c>
      <c r="AB120" s="558">
        <v>0</v>
      </c>
      <c r="AC120" s="558">
        <v>0</v>
      </c>
      <c r="AD120" s="558">
        <v>0</v>
      </c>
      <c r="AE120" s="558">
        <v>0</v>
      </c>
      <c r="AF120" s="558">
        <v>0</v>
      </c>
      <c r="AG120" s="558">
        <v>0</v>
      </c>
      <c r="AH120" s="558">
        <v>0</v>
      </c>
      <c r="AI120" s="558">
        <v>0</v>
      </c>
      <c r="AJ120" s="563">
        <v>0</v>
      </c>
      <c r="AK120" s="563">
        <v>0</v>
      </c>
      <c r="AL120" s="563">
        <v>0</v>
      </c>
      <c r="AM120" s="563">
        <v>0</v>
      </c>
      <c r="AN120" s="563">
        <v>0</v>
      </c>
      <c r="AO120" s="563">
        <v>0</v>
      </c>
      <c r="AP120" s="563">
        <v>0</v>
      </c>
      <c r="AQ120" s="563">
        <v>0</v>
      </c>
      <c r="AR120" s="563">
        <v>0</v>
      </c>
      <c r="AS120" s="563">
        <v>0</v>
      </c>
      <c r="AT120" s="563">
        <v>0</v>
      </c>
      <c r="AU120" s="563">
        <v>0</v>
      </c>
      <c r="AV120" s="563">
        <v>0</v>
      </c>
      <c r="AW120" s="563">
        <v>0</v>
      </c>
      <c r="AX120" s="563">
        <v>0</v>
      </c>
      <c r="AY120" s="563">
        <v>0</v>
      </c>
      <c r="AZ120" s="563">
        <v>0</v>
      </c>
      <c r="BA120" s="563">
        <v>0</v>
      </c>
      <c r="BB120" s="563">
        <v>0</v>
      </c>
      <c r="BC120" s="563">
        <v>0</v>
      </c>
      <c r="BD120" s="563">
        <v>0</v>
      </c>
      <c r="BE120" s="563">
        <v>0</v>
      </c>
      <c r="BF120" s="563">
        <v>0</v>
      </c>
      <c r="BG120" s="563">
        <v>0</v>
      </c>
      <c r="BH120" s="563">
        <v>0</v>
      </c>
      <c r="BI120" s="536"/>
      <c r="BJ120" s="559">
        <v>0</v>
      </c>
      <c r="BK120" s="559">
        <v>0</v>
      </c>
      <c r="BL120" s="536"/>
      <c r="BM120" s="559">
        <v>0</v>
      </c>
      <c r="BN120" s="559">
        <v>0</v>
      </c>
      <c r="BO120" s="559">
        <v>0</v>
      </c>
      <c r="BP120" s="559">
        <v>0</v>
      </c>
      <c r="BQ120" s="559">
        <v>0</v>
      </c>
      <c r="BR120" s="559">
        <v>0</v>
      </c>
      <c r="BS120" s="559">
        <v>0</v>
      </c>
      <c r="BT120" s="536"/>
      <c r="BU120" s="559">
        <v>0</v>
      </c>
      <c r="BV120" s="559">
        <v>0</v>
      </c>
      <c r="BW120" s="559">
        <v>0</v>
      </c>
      <c r="BX120" s="559">
        <v>0</v>
      </c>
      <c r="BY120" s="559">
        <v>0</v>
      </c>
      <c r="BZ120" s="559">
        <v>0</v>
      </c>
      <c r="CA120" s="545">
        <v>0</v>
      </c>
      <c r="CB120" s="545">
        <v>0</v>
      </c>
      <c r="CC120" s="536"/>
      <c r="CK120" s="559" t="s">
        <v>896</v>
      </c>
      <c r="CL120" s="559" t="s">
        <v>896</v>
      </c>
      <c r="CM120" s="559" t="s">
        <v>896</v>
      </c>
      <c r="CN120" s="559" t="s">
        <v>896</v>
      </c>
      <c r="CO120" s="559" t="s">
        <v>896</v>
      </c>
      <c r="CP120" s="559" t="s">
        <v>896</v>
      </c>
      <c r="CQ120" s="559" t="s">
        <v>896</v>
      </c>
      <c r="CR120" s="544" t="s">
        <v>499</v>
      </c>
    </row>
    <row r="121" spans="1:96" s="570" customFormat="1" ht="15.75" thickBot="1" x14ac:dyDescent="0.25">
      <c r="A121" s="569" t="s">
        <v>776</v>
      </c>
      <c r="C121" s="571" t="s">
        <v>771</v>
      </c>
      <c r="F121" s="572"/>
      <c r="G121" s="572"/>
      <c r="H121" s="572"/>
      <c r="I121" s="572"/>
      <c r="J121" s="572"/>
      <c r="K121" s="572"/>
      <c r="L121" s="572"/>
      <c r="M121" s="572"/>
      <c r="N121" s="572">
        <v>1</v>
      </c>
      <c r="O121" s="572">
        <v>0</v>
      </c>
      <c r="P121" s="572">
        <v>1</v>
      </c>
      <c r="Q121" s="572">
        <v>0</v>
      </c>
      <c r="R121" s="572">
        <v>0</v>
      </c>
      <c r="S121" s="572">
        <v>0</v>
      </c>
      <c r="T121" s="572">
        <v>0</v>
      </c>
      <c r="U121" s="572">
        <v>0</v>
      </c>
      <c r="V121" s="572">
        <v>0</v>
      </c>
      <c r="W121" s="572">
        <v>2</v>
      </c>
      <c r="X121" s="572">
        <v>1</v>
      </c>
      <c r="Y121" s="572">
        <v>0</v>
      </c>
      <c r="Z121" s="572">
        <v>0</v>
      </c>
      <c r="AA121" s="572">
        <v>0</v>
      </c>
      <c r="AB121" s="572">
        <v>0</v>
      </c>
      <c r="AC121" s="572">
        <v>0</v>
      </c>
      <c r="AD121" s="572">
        <v>1</v>
      </c>
      <c r="AE121" s="572">
        <v>0</v>
      </c>
      <c r="AF121" s="572">
        <v>0</v>
      </c>
      <c r="AG121" s="572">
        <v>0</v>
      </c>
      <c r="AH121" s="572">
        <v>0</v>
      </c>
      <c r="AI121" s="572">
        <v>0</v>
      </c>
      <c r="AJ121" s="572">
        <v>0</v>
      </c>
      <c r="AK121" s="572">
        <v>0</v>
      </c>
      <c r="AL121" s="572">
        <v>0</v>
      </c>
      <c r="AM121" s="572">
        <v>0</v>
      </c>
      <c r="AN121" s="572">
        <v>0</v>
      </c>
      <c r="AO121" s="572">
        <v>0</v>
      </c>
      <c r="AP121" s="572">
        <v>0</v>
      </c>
      <c r="AQ121" s="572">
        <v>0</v>
      </c>
      <c r="AR121" s="572">
        <v>0</v>
      </c>
      <c r="AS121" s="572">
        <v>0</v>
      </c>
      <c r="AT121" s="572">
        <v>0</v>
      </c>
      <c r="AU121" s="572">
        <v>0</v>
      </c>
      <c r="AV121" s="572">
        <v>0</v>
      </c>
      <c r="AW121" s="572">
        <v>0</v>
      </c>
      <c r="AX121" s="572">
        <v>0</v>
      </c>
      <c r="AY121" s="572">
        <v>0</v>
      </c>
      <c r="AZ121" s="572">
        <v>0</v>
      </c>
      <c r="BA121" s="572">
        <v>0</v>
      </c>
      <c r="BB121" s="572">
        <v>0</v>
      </c>
      <c r="BC121" s="572">
        <v>0</v>
      </c>
      <c r="BD121" s="572">
        <v>0</v>
      </c>
      <c r="BE121" s="572">
        <v>0</v>
      </c>
      <c r="BF121" s="572">
        <v>0</v>
      </c>
      <c r="BG121" s="572">
        <v>0</v>
      </c>
      <c r="BH121" s="572">
        <v>0</v>
      </c>
      <c r="BI121" s="542"/>
      <c r="BJ121" s="572">
        <v>0</v>
      </c>
      <c r="BK121" s="572">
        <v>0</v>
      </c>
      <c r="BL121" s="542"/>
      <c r="BM121" s="572">
        <v>0</v>
      </c>
      <c r="BN121" s="572">
        <v>0</v>
      </c>
      <c r="BO121" s="572">
        <v>0</v>
      </c>
      <c r="BP121" s="572">
        <v>0</v>
      </c>
      <c r="BQ121" s="572">
        <v>0</v>
      </c>
      <c r="BR121" s="572">
        <v>0</v>
      </c>
      <c r="BS121" s="572">
        <v>0</v>
      </c>
      <c r="BT121" s="542"/>
      <c r="BU121" s="572">
        <v>0</v>
      </c>
      <c r="BV121" s="572">
        <v>0</v>
      </c>
      <c r="BW121" s="572">
        <v>0</v>
      </c>
      <c r="BX121" s="572">
        <v>0</v>
      </c>
      <c r="BY121" s="572">
        <v>0</v>
      </c>
      <c r="BZ121" s="572">
        <v>0</v>
      </c>
      <c r="CA121" s="572">
        <v>0</v>
      </c>
      <c r="CB121" s="572">
        <v>0</v>
      </c>
      <c r="CC121" s="542"/>
      <c r="CK121" s="570" t="s">
        <v>896</v>
      </c>
      <c r="CL121" s="570" t="s">
        <v>896</v>
      </c>
      <c r="CM121" s="570" t="s">
        <v>896</v>
      </c>
      <c r="CN121" s="570" t="s">
        <v>896</v>
      </c>
      <c r="CO121" s="570" t="s">
        <v>896</v>
      </c>
      <c r="CP121" s="570" t="s">
        <v>896</v>
      </c>
      <c r="CQ121" s="570" t="s">
        <v>896</v>
      </c>
      <c r="CR121" s="544" t="s">
        <v>499</v>
      </c>
    </row>
    <row r="122" spans="1:96" s="559" customFormat="1" ht="14.45" customHeight="1" outlineLevel="1" thickBot="1" x14ac:dyDescent="0.25">
      <c r="A122" s="559">
        <v>41335</v>
      </c>
      <c r="C122" s="560" t="s">
        <v>857</v>
      </c>
      <c r="F122" s="562"/>
      <c r="I122" s="559">
        <v>1</v>
      </c>
      <c r="L122" s="559">
        <v>1</v>
      </c>
      <c r="N122" s="559">
        <v>1</v>
      </c>
      <c r="P122" s="559">
        <v>1</v>
      </c>
      <c r="Q122" s="559">
        <v>0</v>
      </c>
      <c r="R122" s="559">
        <v>0</v>
      </c>
      <c r="S122" s="559">
        <v>0</v>
      </c>
      <c r="T122" s="559">
        <v>0</v>
      </c>
      <c r="U122" s="559">
        <v>0</v>
      </c>
      <c r="V122" s="558">
        <v>0</v>
      </c>
      <c r="W122" s="558">
        <v>2</v>
      </c>
      <c r="X122" s="558">
        <v>1</v>
      </c>
      <c r="Y122" s="558">
        <v>0</v>
      </c>
      <c r="Z122" s="558">
        <v>0</v>
      </c>
      <c r="AA122" s="558">
        <v>0</v>
      </c>
      <c r="AB122" s="558">
        <v>0</v>
      </c>
      <c r="AC122" s="558">
        <v>0</v>
      </c>
      <c r="AD122" s="558">
        <v>1</v>
      </c>
      <c r="AE122" s="558">
        <v>0</v>
      </c>
      <c r="AF122" s="558">
        <v>0</v>
      </c>
      <c r="AG122" s="558">
        <v>0</v>
      </c>
      <c r="AH122" s="558">
        <v>0</v>
      </c>
      <c r="AI122" s="558">
        <v>0</v>
      </c>
      <c r="AJ122" s="563">
        <v>0</v>
      </c>
      <c r="AK122" s="563">
        <v>0</v>
      </c>
      <c r="AL122" s="563">
        <v>0</v>
      </c>
      <c r="AM122" s="563">
        <v>0</v>
      </c>
      <c r="AN122" s="563">
        <v>0</v>
      </c>
      <c r="AO122" s="563">
        <v>0</v>
      </c>
      <c r="AP122" s="563">
        <v>0</v>
      </c>
      <c r="AQ122" s="563">
        <v>0</v>
      </c>
      <c r="AR122" s="563">
        <v>0</v>
      </c>
      <c r="AS122" s="563">
        <v>0</v>
      </c>
      <c r="AT122" s="563">
        <v>0</v>
      </c>
      <c r="AU122" s="563">
        <v>0</v>
      </c>
      <c r="AV122" s="563">
        <v>0</v>
      </c>
      <c r="AW122" s="563">
        <v>0</v>
      </c>
      <c r="AX122" s="563">
        <v>0</v>
      </c>
      <c r="AY122" s="563">
        <v>0</v>
      </c>
      <c r="AZ122" s="563">
        <v>0</v>
      </c>
      <c r="BA122" s="563">
        <v>0</v>
      </c>
      <c r="BB122" s="563">
        <v>0</v>
      </c>
      <c r="BC122" s="563">
        <v>0</v>
      </c>
      <c r="BD122" s="563">
        <v>0</v>
      </c>
      <c r="BE122" s="563">
        <v>0</v>
      </c>
      <c r="BF122" s="563">
        <v>0</v>
      </c>
      <c r="BG122" s="563">
        <v>0</v>
      </c>
      <c r="BH122" s="563">
        <v>0</v>
      </c>
      <c r="BI122" s="536"/>
      <c r="BJ122" s="559">
        <v>0</v>
      </c>
      <c r="BK122" s="559">
        <v>0</v>
      </c>
      <c r="BL122" s="536"/>
      <c r="BM122" s="559">
        <v>0</v>
      </c>
      <c r="BN122" s="559">
        <v>0</v>
      </c>
      <c r="BO122" s="559">
        <v>0</v>
      </c>
      <c r="BP122" s="559">
        <v>0</v>
      </c>
      <c r="BQ122" s="559">
        <v>0</v>
      </c>
      <c r="BR122" s="559">
        <v>0</v>
      </c>
      <c r="BS122" s="559">
        <v>0</v>
      </c>
      <c r="BT122" s="536"/>
      <c r="BU122" s="559">
        <v>0</v>
      </c>
      <c r="BV122" s="559">
        <v>0</v>
      </c>
      <c r="BW122" s="559">
        <v>0</v>
      </c>
      <c r="BX122" s="559">
        <v>0</v>
      </c>
      <c r="BY122" s="559">
        <v>0</v>
      </c>
      <c r="BZ122" s="559">
        <v>0</v>
      </c>
      <c r="CA122" s="545">
        <v>0</v>
      </c>
      <c r="CB122" s="545">
        <v>0</v>
      </c>
      <c r="CC122" s="536"/>
      <c r="CK122" s="559" t="s">
        <v>896</v>
      </c>
      <c r="CL122" s="559" t="s">
        <v>896</v>
      </c>
      <c r="CM122" s="559" t="s">
        <v>896</v>
      </c>
      <c r="CN122" s="559" t="s">
        <v>896</v>
      </c>
      <c r="CO122" s="559" t="s">
        <v>896</v>
      </c>
      <c r="CP122" s="559" t="s">
        <v>896</v>
      </c>
      <c r="CQ122" s="559" t="s">
        <v>896</v>
      </c>
      <c r="CR122" s="544" t="s">
        <v>499</v>
      </c>
    </row>
    <row r="123" spans="1:96" s="637" customFormat="1" ht="15.75" thickBot="1" x14ac:dyDescent="0.25">
      <c r="A123" s="636" t="s">
        <v>776</v>
      </c>
      <c r="C123" s="638" t="s">
        <v>858</v>
      </c>
      <c r="E123" s="637">
        <v>17</v>
      </c>
      <c r="F123" s="639">
        <v>15</v>
      </c>
      <c r="G123" s="639">
        <v>14</v>
      </c>
      <c r="H123" s="639">
        <v>20</v>
      </c>
      <c r="I123" s="639">
        <v>13</v>
      </c>
      <c r="J123" s="639">
        <v>12</v>
      </c>
      <c r="K123" s="639">
        <v>9</v>
      </c>
      <c r="L123" s="639">
        <v>12</v>
      </c>
      <c r="M123" s="639">
        <v>18</v>
      </c>
      <c r="N123" s="639">
        <v>12</v>
      </c>
      <c r="O123" s="639">
        <v>16</v>
      </c>
      <c r="P123" s="639">
        <v>9</v>
      </c>
      <c r="Q123" s="639">
        <v>17</v>
      </c>
      <c r="R123" s="639">
        <v>11</v>
      </c>
      <c r="S123" s="639">
        <v>20</v>
      </c>
      <c r="T123" s="639">
        <v>13</v>
      </c>
      <c r="U123" s="639">
        <v>16</v>
      </c>
      <c r="V123" s="639">
        <v>20</v>
      </c>
      <c r="W123" s="639">
        <v>14</v>
      </c>
      <c r="X123" s="639">
        <v>25</v>
      </c>
      <c r="Y123" s="639">
        <v>9</v>
      </c>
      <c r="Z123" s="639">
        <v>18</v>
      </c>
      <c r="AA123" s="639">
        <v>11</v>
      </c>
      <c r="AB123" s="639">
        <v>14</v>
      </c>
      <c r="AC123" s="639">
        <v>7</v>
      </c>
      <c r="AD123" s="639">
        <v>11</v>
      </c>
      <c r="AE123" s="639">
        <v>7</v>
      </c>
      <c r="AF123" s="639">
        <v>13</v>
      </c>
      <c r="AG123" s="639">
        <v>11</v>
      </c>
      <c r="AH123" s="639">
        <v>14</v>
      </c>
      <c r="AI123" s="639">
        <v>12</v>
      </c>
      <c r="AJ123" s="639">
        <v>28</v>
      </c>
      <c r="AK123" s="639">
        <v>14</v>
      </c>
      <c r="AL123" s="639">
        <v>12</v>
      </c>
      <c r="AM123" s="639">
        <v>14</v>
      </c>
      <c r="AN123" s="639">
        <v>13</v>
      </c>
      <c r="AO123" s="639">
        <v>12</v>
      </c>
      <c r="AP123" s="639">
        <v>10</v>
      </c>
      <c r="AQ123" s="639">
        <v>13</v>
      </c>
      <c r="AR123" s="639">
        <v>16</v>
      </c>
      <c r="AS123" s="639">
        <v>17</v>
      </c>
      <c r="AT123" s="639">
        <v>9</v>
      </c>
      <c r="AU123" s="639">
        <v>10</v>
      </c>
      <c r="AV123" s="639">
        <v>17</v>
      </c>
      <c r="AW123" s="639">
        <v>11</v>
      </c>
      <c r="AX123" s="639">
        <v>11</v>
      </c>
      <c r="AY123" s="639">
        <v>8</v>
      </c>
      <c r="AZ123" s="639">
        <v>8</v>
      </c>
      <c r="BA123" s="639">
        <v>14</v>
      </c>
      <c r="BB123" s="639">
        <v>7</v>
      </c>
      <c r="BC123" s="639">
        <v>13</v>
      </c>
      <c r="BD123" s="639">
        <v>17</v>
      </c>
      <c r="BE123" s="639">
        <v>13</v>
      </c>
      <c r="BF123" s="639">
        <v>13</v>
      </c>
      <c r="BG123" s="639">
        <v>10</v>
      </c>
      <c r="BH123" s="639">
        <v>11</v>
      </c>
      <c r="BI123" s="542"/>
      <c r="BJ123" s="639">
        <v>11</v>
      </c>
      <c r="BK123" s="639">
        <v>0</v>
      </c>
      <c r="BL123" s="542"/>
      <c r="BM123" s="639">
        <v>16</v>
      </c>
      <c r="BN123" s="639">
        <v>12</v>
      </c>
      <c r="BO123" s="639">
        <v>12</v>
      </c>
      <c r="BP123" s="639">
        <v>12</v>
      </c>
      <c r="BQ123" s="639">
        <v>12</v>
      </c>
      <c r="BR123" s="639">
        <v>12</v>
      </c>
      <c r="BS123" s="639">
        <v>153</v>
      </c>
      <c r="BT123" s="542"/>
      <c r="BU123" s="639">
        <v>12</v>
      </c>
      <c r="BV123" s="639">
        <v>12</v>
      </c>
      <c r="BW123" s="639">
        <v>12</v>
      </c>
      <c r="BX123" s="639">
        <v>12</v>
      </c>
      <c r="BY123" s="639">
        <v>12</v>
      </c>
      <c r="BZ123" s="639">
        <v>12</v>
      </c>
      <c r="CA123" s="639">
        <v>72</v>
      </c>
      <c r="CB123" s="639">
        <v>144</v>
      </c>
      <c r="CC123" s="542"/>
      <c r="CK123" s="637" t="s">
        <v>896</v>
      </c>
      <c r="CL123" s="637" t="s">
        <v>896</v>
      </c>
      <c r="CM123" s="637" t="s">
        <v>896</v>
      </c>
      <c r="CN123" s="637" t="s">
        <v>896</v>
      </c>
      <c r="CO123" s="637" t="s">
        <v>896</v>
      </c>
      <c r="CP123" s="637" t="s">
        <v>896</v>
      </c>
      <c r="CQ123" s="637" t="s">
        <v>896</v>
      </c>
      <c r="CR123" s="544" t="s">
        <v>499</v>
      </c>
    </row>
    <row r="124" spans="1:96" s="559" customFormat="1" ht="14.45" customHeight="1" outlineLevel="1" x14ac:dyDescent="0.2">
      <c r="A124" s="559">
        <v>39917</v>
      </c>
      <c r="C124" s="560" t="s">
        <v>859</v>
      </c>
      <c r="E124" s="559">
        <v>17</v>
      </c>
      <c r="F124" s="562">
        <v>15</v>
      </c>
      <c r="G124" s="559">
        <v>14</v>
      </c>
      <c r="H124" s="559">
        <v>20</v>
      </c>
      <c r="I124" s="559">
        <v>13</v>
      </c>
      <c r="J124" s="559">
        <v>12</v>
      </c>
      <c r="K124" s="559">
        <v>9</v>
      </c>
      <c r="L124" s="559">
        <v>12</v>
      </c>
      <c r="M124" s="559">
        <v>18</v>
      </c>
      <c r="N124" s="559">
        <v>12</v>
      </c>
      <c r="O124" s="559">
        <v>16</v>
      </c>
      <c r="P124" s="559">
        <v>9</v>
      </c>
      <c r="Q124" s="559">
        <v>17</v>
      </c>
      <c r="R124" s="559">
        <v>11</v>
      </c>
      <c r="S124" s="559">
        <v>20</v>
      </c>
      <c r="T124" s="559">
        <v>13</v>
      </c>
      <c r="U124" s="559">
        <v>16</v>
      </c>
      <c r="V124" s="558">
        <v>20</v>
      </c>
      <c r="W124" s="558">
        <v>14</v>
      </c>
      <c r="X124" s="558">
        <v>25</v>
      </c>
      <c r="Y124" s="558">
        <v>9</v>
      </c>
      <c r="Z124" s="558">
        <v>18</v>
      </c>
      <c r="AA124" s="558">
        <v>11</v>
      </c>
      <c r="AB124" s="558">
        <v>14</v>
      </c>
      <c r="AC124" s="558">
        <v>7</v>
      </c>
      <c r="AD124" s="558">
        <v>11</v>
      </c>
      <c r="AE124" s="558">
        <v>7</v>
      </c>
      <c r="AF124" s="558">
        <v>13</v>
      </c>
      <c r="AG124" s="558">
        <v>11</v>
      </c>
      <c r="AH124" s="558">
        <v>14</v>
      </c>
      <c r="AI124" s="558">
        <v>12</v>
      </c>
      <c r="AJ124" s="563">
        <v>28</v>
      </c>
      <c r="AK124" s="563">
        <v>14</v>
      </c>
      <c r="AL124" s="563">
        <v>12</v>
      </c>
      <c r="AM124" s="563">
        <v>14</v>
      </c>
      <c r="AN124" s="563">
        <v>13</v>
      </c>
      <c r="AO124" s="563">
        <v>12</v>
      </c>
      <c r="AP124" s="563">
        <v>10</v>
      </c>
      <c r="AQ124" s="563">
        <v>13</v>
      </c>
      <c r="AR124" s="563">
        <v>16</v>
      </c>
      <c r="AS124" s="563">
        <v>17</v>
      </c>
      <c r="AT124" s="563">
        <v>9</v>
      </c>
      <c r="AU124" s="563">
        <v>10</v>
      </c>
      <c r="AV124" s="563">
        <v>17</v>
      </c>
      <c r="AW124" s="563">
        <v>11</v>
      </c>
      <c r="AX124" s="563">
        <v>11</v>
      </c>
      <c r="AY124" s="563">
        <v>8</v>
      </c>
      <c r="AZ124" s="563">
        <v>8</v>
      </c>
      <c r="BA124" s="563">
        <v>14</v>
      </c>
      <c r="BB124" s="563">
        <v>7</v>
      </c>
      <c r="BC124" s="563">
        <v>13</v>
      </c>
      <c r="BD124" s="563">
        <v>17</v>
      </c>
      <c r="BE124" s="563">
        <v>13</v>
      </c>
      <c r="BF124" s="563">
        <v>13</v>
      </c>
      <c r="BG124" s="563">
        <v>10</v>
      </c>
      <c r="BH124" s="563">
        <v>11</v>
      </c>
      <c r="BI124" s="536"/>
      <c r="BJ124" s="559">
        <v>11</v>
      </c>
      <c r="BK124" s="559">
        <v>0</v>
      </c>
      <c r="BL124" s="536"/>
      <c r="BM124" s="559">
        <v>15</v>
      </c>
      <c r="BN124" s="559">
        <v>12</v>
      </c>
      <c r="BO124" s="559">
        <v>12</v>
      </c>
      <c r="BP124" s="559">
        <v>12</v>
      </c>
      <c r="BQ124" s="559">
        <v>12</v>
      </c>
      <c r="BR124" s="559">
        <v>12</v>
      </c>
      <c r="BS124" s="559">
        <v>152</v>
      </c>
      <c r="BT124" s="536"/>
      <c r="BU124" s="559">
        <v>12</v>
      </c>
      <c r="BV124" s="559">
        <v>12</v>
      </c>
      <c r="BW124" s="559">
        <v>12</v>
      </c>
      <c r="BX124" s="559">
        <v>12</v>
      </c>
      <c r="BY124" s="559">
        <v>12</v>
      </c>
      <c r="BZ124" s="559">
        <v>12</v>
      </c>
      <c r="CA124" s="545">
        <v>72</v>
      </c>
      <c r="CB124" s="545">
        <v>144</v>
      </c>
      <c r="CC124" s="536"/>
      <c r="CK124" s="559" t="s">
        <v>896</v>
      </c>
      <c r="CL124" s="559" t="s">
        <v>896</v>
      </c>
      <c r="CM124" s="559">
        <v>3</v>
      </c>
      <c r="CN124" s="559">
        <v>6</v>
      </c>
      <c r="CO124" s="559">
        <v>4</v>
      </c>
      <c r="CP124" s="559">
        <v>4</v>
      </c>
      <c r="CQ124" s="559">
        <v>7</v>
      </c>
      <c r="CR124" s="544" t="s">
        <v>499</v>
      </c>
    </row>
    <row r="125" spans="1:96" s="559" customFormat="1" ht="14.45" customHeight="1" outlineLevel="1" x14ac:dyDescent="0.2">
      <c r="A125" s="559" t="e">
        <v>#N/A</v>
      </c>
      <c r="C125" s="560" t="s">
        <v>860</v>
      </c>
      <c r="E125" s="559">
        <v>1</v>
      </c>
      <c r="F125" s="562">
        <v>2</v>
      </c>
      <c r="I125" s="559">
        <v>2</v>
      </c>
      <c r="L125" s="559">
        <v>1</v>
      </c>
      <c r="Q125" s="559">
        <v>0</v>
      </c>
      <c r="R125" s="559">
        <v>0</v>
      </c>
      <c r="S125" s="559">
        <v>0</v>
      </c>
      <c r="T125" s="559">
        <v>0</v>
      </c>
      <c r="U125" s="559">
        <v>0</v>
      </c>
      <c r="V125" s="558">
        <v>0</v>
      </c>
      <c r="W125" s="558">
        <v>0</v>
      </c>
      <c r="X125" s="558">
        <v>0</v>
      </c>
      <c r="Y125" s="558">
        <v>0</v>
      </c>
      <c r="Z125" s="558">
        <v>0</v>
      </c>
      <c r="AA125" s="558">
        <v>0</v>
      </c>
      <c r="AB125" s="558">
        <v>0</v>
      </c>
      <c r="AC125" s="558">
        <v>0</v>
      </c>
      <c r="AD125" s="558">
        <v>0</v>
      </c>
      <c r="AE125" s="558">
        <v>0</v>
      </c>
      <c r="AF125" s="558">
        <v>0</v>
      </c>
      <c r="AG125" s="558">
        <v>0</v>
      </c>
      <c r="AH125" s="558">
        <v>0</v>
      </c>
      <c r="AI125" s="558">
        <v>0</v>
      </c>
      <c r="AJ125" s="563">
        <v>0</v>
      </c>
      <c r="AK125" s="563">
        <v>0</v>
      </c>
      <c r="AL125" s="563">
        <v>0</v>
      </c>
      <c r="AM125" s="563">
        <v>0</v>
      </c>
      <c r="AN125" s="563">
        <v>0</v>
      </c>
      <c r="AO125" s="563">
        <v>0</v>
      </c>
      <c r="AP125" s="563">
        <v>0</v>
      </c>
      <c r="AQ125" s="563">
        <v>0</v>
      </c>
      <c r="AR125" s="563">
        <v>0</v>
      </c>
      <c r="AS125" s="563">
        <v>0</v>
      </c>
      <c r="AT125" s="563">
        <v>0</v>
      </c>
      <c r="AU125" s="563">
        <v>0</v>
      </c>
      <c r="AV125" s="563">
        <v>0</v>
      </c>
      <c r="AW125" s="563">
        <v>0</v>
      </c>
      <c r="AX125" s="563">
        <v>0</v>
      </c>
      <c r="AY125" s="563">
        <v>0</v>
      </c>
      <c r="AZ125" s="563">
        <v>0</v>
      </c>
      <c r="BA125" s="563">
        <v>0</v>
      </c>
      <c r="BB125" s="563">
        <v>0</v>
      </c>
      <c r="BC125" s="563">
        <v>0</v>
      </c>
      <c r="BD125" s="563">
        <v>0</v>
      </c>
      <c r="BE125" s="563">
        <v>0</v>
      </c>
      <c r="BF125" s="563">
        <v>0</v>
      </c>
      <c r="BG125" s="563">
        <v>0</v>
      </c>
      <c r="BH125" s="563">
        <v>0</v>
      </c>
      <c r="BI125" s="536"/>
      <c r="BJ125" s="559">
        <v>0</v>
      </c>
      <c r="BK125" s="559">
        <v>0</v>
      </c>
      <c r="BL125" s="536"/>
      <c r="BM125" s="559">
        <v>1</v>
      </c>
      <c r="BN125" s="559">
        <v>0</v>
      </c>
      <c r="BO125" s="559">
        <v>0</v>
      </c>
      <c r="BP125" s="559">
        <v>0</v>
      </c>
      <c r="BQ125" s="559">
        <v>0</v>
      </c>
      <c r="BR125" s="559">
        <v>0</v>
      </c>
      <c r="BS125" s="559">
        <v>1</v>
      </c>
      <c r="BT125" s="536"/>
      <c r="BU125" s="559">
        <v>0</v>
      </c>
      <c r="BV125" s="559">
        <v>0</v>
      </c>
      <c r="BW125" s="559">
        <v>0</v>
      </c>
      <c r="BX125" s="559">
        <v>0</v>
      </c>
      <c r="BY125" s="559">
        <v>0</v>
      </c>
      <c r="BZ125" s="559">
        <v>0</v>
      </c>
      <c r="CA125" s="545">
        <v>0</v>
      </c>
      <c r="CB125" s="545">
        <v>0</v>
      </c>
      <c r="CC125" s="536"/>
      <c r="CK125" s="559" t="s">
        <v>896</v>
      </c>
      <c r="CL125" s="559" t="s">
        <v>896</v>
      </c>
      <c r="CM125" s="559" t="s">
        <v>896</v>
      </c>
      <c r="CN125" s="559" t="s">
        <v>896</v>
      </c>
      <c r="CO125" s="559" t="s">
        <v>896</v>
      </c>
      <c r="CP125" s="559" t="s">
        <v>896</v>
      </c>
      <c r="CQ125" s="559" t="s">
        <v>896</v>
      </c>
      <c r="CR125" s="544" t="s">
        <v>499</v>
      </c>
    </row>
    <row r="126" spans="1:96" s="559" customFormat="1" x14ac:dyDescent="0.2">
      <c r="C126" s="619" t="s">
        <v>861</v>
      </c>
      <c r="E126" s="631">
        <v>102</v>
      </c>
      <c r="F126" s="631">
        <v>121</v>
      </c>
      <c r="G126" s="631">
        <v>115</v>
      </c>
      <c r="H126" s="631">
        <v>145</v>
      </c>
      <c r="I126" s="631">
        <v>98</v>
      </c>
      <c r="J126" s="631">
        <v>124</v>
      </c>
      <c r="K126" s="631">
        <v>99</v>
      </c>
      <c r="L126" s="631">
        <v>113</v>
      </c>
      <c r="M126" s="631">
        <v>116</v>
      </c>
      <c r="N126" s="631">
        <v>119</v>
      </c>
      <c r="O126" s="631">
        <v>137</v>
      </c>
      <c r="P126" s="631">
        <v>124</v>
      </c>
      <c r="Q126" s="631">
        <v>153</v>
      </c>
      <c r="R126" s="631">
        <v>141</v>
      </c>
      <c r="S126" s="631">
        <v>177</v>
      </c>
      <c r="T126" s="631">
        <v>152</v>
      </c>
      <c r="U126" s="631">
        <v>138</v>
      </c>
      <c r="V126" s="631">
        <v>147</v>
      </c>
      <c r="W126" s="631">
        <v>111</v>
      </c>
      <c r="X126" s="631">
        <v>173</v>
      </c>
      <c r="Y126" s="631">
        <v>138</v>
      </c>
      <c r="Z126" s="631">
        <v>141</v>
      </c>
      <c r="AA126" s="631">
        <v>136</v>
      </c>
      <c r="AB126" s="631">
        <v>138</v>
      </c>
      <c r="AC126" s="631">
        <v>128</v>
      </c>
      <c r="AD126" s="631">
        <v>134</v>
      </c>
      <c r="AE126" s="631">
        <v>120</v>
      </c>
      <c r="AF126" s="631">
        <v>141</v>
      </c>
      <c r="AG126" s="631">
        <v>146</v>
      </c>
      <c r="AH126" s="631">
        <v>166</v>
      </c>
      <c r="AI126" s="631">
        <v>171</v>
      </c>
      <c r="AJ126" s="640">
        <v>174</v>
      </c>
      <c r="AK126" s="640">
        <v>128</v>
      </c>
      <c r="AL126" s="640">
        <v>149</v>
      </c>
      <c r="AM126" s="640">
        <v>154</v>
      </c>
      <c r="AN126" s="640">
        <v>144</v>
      </c>
      <c r="AO126" s="640">
        <v>140</v>
      </c>
      <c r="AP126" s="640">
        <v>114</v>
      </c>
      <c r="AQ126" s="640">
        <v>102</v>
      </c>
      <c r="AR126" s="640">
        <v>124</v>
      </c>
      <c r="AS126" s="640">
        <v>89</v>
      </c>
      <c r="AT126" s="640">
        <v>87</v>
      </c>
      <c r="AU126" s="640">
        <v>78</v>
      </c>
      <c r="AV126" s="640">
        <v>57</v>
      </c>
      <c r="AW126" s="640">
        <v>63</v>
      </c>
      <c r="AX126" s="640">
        <v>33</v>
      </c>
      <c r="AY126" s="640">
        <v>34</v>
      </c>
      <c r="AZ126" s="640">
        <v>28</v>
      </c>
      <c r="BA126" s="640">
        <v>32</v>
      </c>
      <c r="BB126" s="640">
        <v>14</v>
      </c>
      <c r="BC126" s="640">
        <v>21</v>
      </c>
      <c r="BD126" s="640">
        <v>26</v>
      </c>
      <c r="BE126" s="640">
        <v>23</v>
      </c>
      <c r="BF126" s="640">
        <v>19</v>
      </c>
      <c r="BG126" s="640">
        <v>14</v>
      </c>
      <c r="BH126" s="640">
        <v>18</v>
      </c>
      <c r="BI126" s="542"/>
      <c r="BJ126" s="631">
        <v>19</v>
      </c>
      <c r="BK126" s="631">
        <v>-1</v>
      </c>
      <c r="BL126" s="542"/>
      <c r="BM126" s="631">
        <v>23</v>
      </c>
      <c r="BN126" s="631">
        <v>22</v>
      </c>
      <c r="BO126" s="631">
        <v>22</v>
      </c>
      <c r="BP126" s="631">
        <v>22</v>
      </c>
      <c r="BQ126" s="631">
        <v>22</v>
      </c>
      <c r="BR126" s="631">
        <v>22</v>
      </c>
      <c r="BS126" s="631">
        <v>254</v>
      </c>
      <c r="BT126" s="542"/>
      <c r="BU126" s="631">
        <v>17</v>
      </c>
      <c r="BV126" s="631">
        <v>17</v>
      </c>
      <c r="BW126" s="631">
        <v>17</v>
      </c>
      <c r="BX126" s="631">
        <v>17</v>
      </c>
      <c r="BY126" s="631">
        <v>17</v>
      </c>
      <c r="BZ126" s="631">
        <v>14</v>
      </c>
      <c r="CA126" s="631">
        <v>99</v>
      </c>
      <c r="CB126" s="631">
        <v>198</v>
      </c>
      <c r="CC126" s="542"/>
      <c r="CR126" s="544" t="s">
        <v>499</v>
      </c>
    </row>
    <row r="127" spans="1:96" s="559" customFormat="1" x14ac:dyDescent="0.2">
      <c r="A127" s="559" t="s">
        <v>896</v>
      </c>
      <c r="C127" s="560"/>
      <c r="F127" s="562"/>
      <c r="AJ127" s="561"/>
      <c r="AK127" s="561"/>
      <c r="AL127" s="561"/>
      <c r="AM127" s="561"/>
      <c r="AN127" s="561"/>
      <c r="AO127" s="561"/>
      <c r="AP127" s="561"/>
      <c r="AQ127" s="561"/>
      <c r="AR127" s="561"/>
      <c r="AS127" s="561"/>
      <c r="AT127" s="561"/>
      <c r="AU127" s="561"/>
      <c r="AV127" s="561"/>
      <c r="AW127" s="561"/>
      <c r="AX127" s="561"/>
      <c r="AY127" s="561"/>
      <c r="AZ127" s="561"/>
      <c r="BA127" s="561"/>
      <c r="BB127" s="561"/>
      <c r="BC127" s="561"/>
      <c r="BD127" s="561"/>
      <c r="BE127" s="561"/>
      <c r="BF127" s="561"/>
      <c r="BG127" s="561"/>
      <c r="BH127" s="561"/>
      <c r="BI127" s="536"/>
      <c r="BK127" s="559" t="s">
        <v>896</v>
      </c>
      <c r="BL127" s="536"/>
      <c r="BS127" s="562"/>
      <c r="BT127" s="536"/>
      <c r="CA127" s="562"/>
      <c r="CB127" s="562"/>
      <c r="CC127" s="536"/>
      <c r="CR127" s="560"/>
    </row>
    <row r="128" spans="1:96" s="641" customFormat="1" ht="18.75" x14ac:dyDescent="0.2">
      <c r="C128" s="642" t="s">
        <v>862</v>
      </c>
      <c r="E128" s="643">
        <v>217</v>
      </c>
      <c r="F128" s="643">
        <v>260</v>
      </c>
      <c r="G128" s="643">
        <v>270</v>
      </c>
      <c r="H128" s="643">
        <v>261</v>
      </c>
      <c r="I128" s="643">
        <v>230</v>
      </c>
      <c r="J128" s="643">
        <v>253</v>
      </c>
      <c r="K128" s="643">
        <v>231</v>
      </c>
      <c r="L128" s="643">
        <v>257</v>
      </c>
      <c r="M128" s="643">
        <v>234</v>
      </c>
      <c r="N128" s="643">
        <v>258</v>
      </c>
      <c r="O128" s="643">
        <v>282</v>
      </c>
      <c r="P128" s="643">
        <v>284</v>
      </c>
      <c r="Q128" s="643">
        <v>266</v>
      </c>
      <c r="R128" s="643">
        <v>280</v>
      </c>
      <c r="S128" s="643">
        <v>302</v>
      </c>
      <c r="T128" s="643">
        <v>291</v>
      </c>
      <c r="U128" s="643">
        <v>255</v>
      </c>
      <c r="V128" s="643">
        <v>271</v>
      </c>
      <c r="W128" s="643">
        <v>204</v>
      </c>
      <c r="X128" s="643">
        <v>285</v>
      </c>
      <c r="Y128" s="643">
        <v>270</v>
      </c>
      <c r="Z128" s="643">
        <v>284</v>
      </c>
      <c r="AA128" s="643">
        <v>284</v>
      </c>
      <c r="AB128" s="643">
        <v>266</v>
      </c>
      <c r="AC128" s="643">
        <v>274</v>
      </c>
      <c r="AD128" s="643">
        <v>316</v>
      </c>
      <c r="AE128" s="643">
        <v>252</v>
      </c>
      <c r="AF128" s="643">
        <v>323</v>
      </c>
      <c r="AG128" s="643">
        <v>329</v>
      </c>
      <c r="AH128" s="643">
        <v>322</v>
      </c>
      <c r="AI128" s="643">
        <v>364</v>
      </c>
      <c r="AJ128" s="644">
        <v>369</v>
      </c>
      <c r="AK128" s="644">
        <v>311</v>
      </c>
      <c r="AL128" s="644">
        <v>335</v>
      </c>
      <c r="AM128" s="644">
        <v>359</v>
      </c>
      <c r="AN128" s="644">
        <v>333</v>
      </c>
      <c r="AO128" s="644">
        <v>393</v>
      </c>
      <c r="AP128" s="644">
        <v>359</v>
      </c>
      <c r="AQ128" s="644">
        <v>319</v>
      </c>
      <c r="AR128" s="644">
        <v>356</v>
      </c>
      <c r="AS128" s="644">
        <v>304</v>
      </c>
      <c r="AT128" s="644">
        <v>336</v>
      </c>
      <c r="AU128" s="644">
        <v>317</v>
      </c>
      <c r="AV128" s="644">
        <v>271</v>
      </c>
      <c r="AW128" s="644">
        <v>307</v>
      </c>
      <c r="AX128" s="644">
        <v>281</v>
      </c>
      <c r="AY128" s="644">
        <v>296</v>
      </c>
      <c r="AZ128" s="644">
        <v>301</v>
      </c>
      <c r="BA128" s="644">
        <v>301</v>
      </c>
      <c r="BB128" s="644">
        <v>273</v>
      </c>
      <c r="BC128" s="644">
        <v>265</v>
      </c>
      <c r="BD128" s="644">
        <v>294</v>
      </c>
      <c r="BE128" s="644">
        <v>275</v>
      </c>
      <c r="BF128" s="644">
        <v>310</v>
      </c>
      <c r="BG128" s="644">
        <v>285</v>
      </c>
      <c r="BH128" s="644">
        <v>267</v>
      </c>
      <c r="BI128" s="645"/>
      <c r="BJ128" s="643">
        <v>273</v>
      </c>
      <c r="BK128" s="643">
        <v>-6</v>
      </c>
      <c r="BL128" s="645"/>
      <c r="BM128" s="643">
        <v>299</v>
      </c>
      <c r="BN128" s="643">
        <v>291</v>
      </c>
      <c r="BO128" s="643">
        <v>291</v>
      </c>
      <c r="BP128" s="643">
        <v>295</v>
      </c>
      <c r="BQ128" s="643">
        <v>295</v>
      </c>
      <c r="BR128" s="643">
        <v>295</v>
      </c>
      <c r="BS128" s="643">
        <v>3462</v>
      </c>
      <c r="BT128" s="645"/>
      <c r="BU128" s="643">
        <v>298.33333333333337</v>
      </c>
      <c r="BV128" s="643">
        <v>297.33333333333337</v>
      </c>
      <c r="BW128" s="643">
        <v>303.33333333333337</v>
      </c>
      <c r="BX128" s="643">
        <v>301.33333333333337</v>
      </c>
      <c r="BY128" s="643">
        <v>306.33333333333337</v>
      </c>
      <c r="BZ128" s="643">
        <v>299.33333333333337</v>
      </c>
      <c r="CA128" s="643">
        <v>1806.0000000000005</v>
      </c>
      <c r="CB128" s="643">
        <v>3612.0000000000009</v>
      </c>
      <c r="CC128" s="645"/>
      <c r="CR128" s="646"/>
    </row>
    <row r="129" spans="1:96" s="559" customFormat="1" x14ac:dyDescent="0.2">
      <c r="C129" s="560"/>
      <c r="F129" s="562"/>
      <c r="AJ129" s="561"/>
      <c r="AK129" s="561"/>
      <c r="AL129" s="561"/>
      <c r="AM129" s="561"/>
      <c r="AN129" s="561"/>
      <c r="AO129" s="561"/>
      <c r="AP129" s="561"/>
      <c r="AQ129" s="561"/>
      <c r="AR129" s="561"/>
      <c r="AS129" s="561"/>
      <c r="AT129" s="561"/>
      <c r="AU129" s="561"/>
      <c r="AV129" s="561"/>
      <c r="AW129" s="561"/>
      <c r="AX129" s="561"/>
      <c r="AY129" s="561"/>
      <c r="AZ129" s="561"/>
      <c r="BA129" s="561"/>
      <c r="BB129" s="561"/>
      <c r="BC129" s="561"/>
      <c r="BD129" s="561"/>
      <c r="BE129" s="561"/>
      <c r="BF129" s="561"/>
      <c r="BG129" s="561"/>
      <c r="BH129" s="561"/>
      <c r="BI129" s="536"/>
      <c r="BK129" s="559" t="s">
        <v>896</v>
      </c>
      <c r="BL129" s="536"/>
      <c r="BS129" s="562"/>
      <c r="BT129" s="536"/>
      <c r="CA129" s="562"/>
      <c r="CB129" s="562"/>
      <c r="CC129" s="536"/>
      <c r="CR129" s="560"/>
    </row>
    <row r="130" spans="1:96" s="559" customFormat="1" outlineLevel="1" x14ac:dyDescent="0.2">
      <c r="C130" s="560"/>
      <c r="F130" s="562"/>
      <c r="AJ130" s="561"/>
      <c r="AK130" s="561"/>
      <c r="AL130" s="561"/>
      <c r="AM130" s="561"/>
      <c r="AN130" s="561"/>
      <c r="AO130" s="561"/>
      <c r="AP130" s="561"/>
      <c r="AQ130" s="561"/>
      <c r="AR130" s="561"/>
      <c r="AS130" s="561"/>
      <c r="AT130" s="561"/>
      <c r="AU130" s="561"/>
      <c r="AV130" s="561"/>
      <c r="AW130" s="561"/>
      <c r="AX130" s="561"/>
      <c r="AY130" s="561"/>
      <c r="AZ130" s="561"/>
      <c r="BA130" s="561"/>
      <c r="BB130" s="561"/>
      <c r="BC130" s="561"/>
      <c r="BD130" s="561"/>
      <c r="BE130" s="561"/>
      <c r="BF130" s="561"/>
      <c r="BG130" s="561"/>
      <c r="BH130" s="561"/>
      <c r="BI130" s="536"/>
      <c r="BK130" s="559" t="s">
        <v>896</v>
      </c>
      <c r="BL130" s="536"/>
      <c r="BS130" s="562"/>
      <c r="BT130" s="536"/>
      <c r="CA130" s="562"/>
      <c r="CB130" s="562"/>
      <c r="CC130" s="536"/>
      <c r="CR130" s="560"/>
    </row>
    <row r="131" spans="1:96" s="647" customFormat="1" outlineLevel="1" x14ac:dyDescent="0.2">
      <c r="C131" s="648" t="s">
        <v>863</v>
      </c>
      <c r="E131" s="647">
        <v>32</v>
      </c>
      <c r="F131" s="649">
        <v>24</v>
      </c>
      <c r="G131" s="649">
        <v>17</v>
      </c>
      <c r="H131" s="649">
        <v>21</v>
      </c>
      <c r="I131" s="649">
        <v>24</v>
      </c>
      <c r="J131" s="649">
        <v>7</v>
      </c>
      <c r="K131" s="649">
        <v>10</v>
      </c>
      <c r="L131" s="649">
        <v>10</v>
      </c>
      <c r="M131" s="649">
        <v>0</v>
      </c>
      <c r="N131" s="649">
        <v>0</v>
      </c>
      <c r="O131" s="649">
        <v>0</v>
      </c>
      <c r="P131" s="649">
        <v>0</v>
      </c>
      <c r="Q131" s="649">
        <v>0</v>
      </c>
      <c r="R131" s="649">
        <v>0</v>
      </c>
      <c r="S131" s="649">
        <v>0</v>
      </c>
      <c r="T131" s="649">
        <v>0</v>
      </c>
      <c r="U131" s="649">
        <v>0</v>
      </c>
      <c r="V131" s="649">
        <v>0</v>
      </c>
      <c r="W131" s="649">
        <v>0</v>
      </c>
      <c r="X131" s="649">
        <v>0</v>
      </c>
      <c r="Y131" s="649">
        <v>0</v>
      </c>
      <c r="Z131" s="649">
        <v>0</v>
      </c>
      <c r="AA131" s="649">
        <v>0</v>
      </c>
      <c r="AB131" s="649">
        <v>0</v>
      </c>
      <c r="AC131" s="649">
        <v>0</v>
      </c>
      <c r="AD131" s="649">
        <v>0</v>
      </c>
      <c r="AE131" s="649">
        <v>0</v>
      </c>
      <c r="AF131" s="649">
        <v>0</v>
      </c>
      <c r="AG131" s="649">
        <v>0</v>
      </c>
      <c r="AH131" s="649">
        <v>0</v>
      </c>
      <c r="AI131" s="649">
        <v>0</v>
      </c>
      <c r="AJ131" s="650">
        <v>0</v>
      </c>
      <c r="AK131" s="650">
        <v>0</v>
      </c>
      <c r="AL131" s="650">
        <v>0</v>
      </c>
      <c r="AM131" s="650">
        <v>0</v>
      </c>
      <c r="AN131" s="650">
        <v>0</v>
      </c>
      <c r="AO131" s="650">
        <v>0</v>
      </c>
      <c r="AP131" s="650">
        <v>0</v>
      </c>
      <c r="AQ131" s="650">
        <v>0</v>
      </c>
      <c r="AR131" s="650">
        <v>0</v>
      </c>
      <c r="AS131" s="650">
        <v>0</v>
      </c>
      <c r="AT131" s="650">
        <v>0</v>
      </c>
      <c r="AU131" s="650">
        <v>0</v>
      </c>
      <c r="AV131" s="650">
        <v>0</v>
      </c>
      <c r="AW131" s="650">
        <v>0</v>
      </c>
      <c r="AX131" s="650">
        <v>0</v>
      </c>
      <c r="AY131" s="650">
        <v>0</v>
      </c>
      <c r="AZ131" s="650">
        <v>0</v>
      </c>
      <c r="BA131" s="650">
        <v>0</v>
      </c>
      <c r="BB131" s="650">
        <v>0</v>
      </c>
      <c r="BC131" s="650">
        <v>0</v>
      </c>
      <c r="BD131" s="650">
        <v>0</v>
      </c>
      <c r="BE131" s="650">
        <v>0</v>
      </c>
      <c r="BF131" s="650">
        <v>0</v>
      </c>
      <c r="BG131" s="650">
        <v>0</v>
      </c>
      <c r="BH131" s="650">
        <v>0</v>
      </c>
      <c r="BI131" s="542"/>
      <c r="BJ131" s="649"/>
      <c r="BK131" s="649">
        <v>0</v>
      </c>
      <c r="BL131" s="542"/>
      <c r="BM131" s="649"/>
      <c r="BN131" s="649"/>
      <c r="BO131" s="649"/>
      <c r="BP131" s="649"/>
      <c r="BQ131" s="649"/>
      <c r="BR131" s="649"/>
      <c r="BS131" s="649"/>
      <c r="BT131" s="542"/>
      <c r="BU131" s="649"/>
      <c r="BV131" s="649"/>
      <c r="BW131" s="649"/>
      <c r="BX131" s="649"/>
      <c r="BY131" s="649"/>
      <c r="BZ131" s="649"/>
      <c r="CA131" s="649">
        <v>0</v>
      </c>
      <c r="CB131" s="649">
        <v>0</v>
      </c>
      <c r="CC131" s="542"/>
      <c r="CR131" s="648"/>
    </row>
    <row r="132" spans="1:96" s="559" customFormat="1" hidden="1" outlineLevel="2" x14ac:dyDescent="0.2">
      <c r="C132" s="560" t="s">
        <v>803</v>
      </c>
      <c r="E132" s="559">
        <v>8</v>
      </c>
      <c r="F132" s="562">
        <v>18</v>
      </c>
      <c r="H132" s="559">
        <v>15</v>
      </c>
      <c r="L132" s="559">
        <v>6</v>
      </c>
      <c r="AJ132" s="561"/>
      <c r="AK132" s="561"/>
      <c r="AL132" s="561"/>
      <c r="AM132" s="561"/>
      <c r="AN132" s="561"/>
      <c r="AO132" s="561"/>
      <c r="AP132" s="561"/>
      <c r="AQ132" s="561"/>
      <c r="AR132" s="561"/>
      <c r="AS132" s="561"/>
      <c r="AT132" s="561"/>
      <c r="AU132" s="561"/>
      <c r="AV132" s="561"/>
      <c r="AW132" s="561"/>
      <c r="AX132" s="561"/>
      <c r="AY132" s="561"/>
      <c r="AZ132" s="561"/>
      <c r="BA132" s="561"/>
      <c r="BB132" s="561"/>
      <c r="BC132" s="561"/>
      <c r="BD132" s="561"/>
      <c r="BE132" s="561"/>
      <c r="BF132" s="561"/>
      <c r="BG132" s="561"/>
      <c r="BH132" s="561"/>
      <c r="BI132" s="536"/>
      <c r="BK132" s="559" t="s">
        <v>896</v>
      </c>
      <c r="BL132" s="536"/>
      <c r="BS132" s="562"/>
      <c r="BT132" s="536"/>
      <c r="CA132" s="562">
        <v>0</v>
      </c>
      <c r="CB132" s="562">
        <v>0</v>
      </c>
      <c r="CC132" s="536"/>
      <c r="CD132" s="559">
        <v>0</v>
      </c>
      <c r="CE132" s="559">
        <v>3</v>
      </c>
      <c r="CR132" s="560"/>
    </row>
    <row r="133" spans="1:96" s="559" customFormat="1" hidden="1" outlineLevel="2" x14ac:dyDescent="0.2">
      <c r="C133" s="560" t="s">
        <v>831</v>
      </c>
      <c r="F133" s="562"/>
      <c r="G133" s="559">
        <v>2</v>
      </c>
      <c r="L133" s="559">
        <v>2</v>
      </c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  <c r="AT133" s="561"/>
      <c r="AU133" s="561"/>
      <c r="AV133" s="561"/>
      <c r="AW133" s="561"/>
      <c r="AX133" s="561"/>
      <c r="AY133" s="561"/>
      <c r="AZ133" s="561"/>
      <c r="BA133" s="561"/>
      <c r="BB133" s="561"/>
      <c r="BC133" s="561"/>
      <c r="BD133" s="561"/>
      <c r="BE133" s="561"/>
      <c r="BF133" s="561"/>
      <c r="BG133" s="561"/>
      <c r="BH133" s="561"/>
      <c r="BI133" s="536"/>
      <c r="BK133" s="559" t="s">
        <v>896</v>
      </c>
      <c r="BL133" s="536"/>
      <c r="BS133" s="562"/>
      <c r="BT133" s="536"/>
      <c r="CA133" s="562">
        <v>0</v>
      </c>
      <c r="CB133" s="562">
        <v>0</v>
      </c>
      <c r="CC133" s="536"/>
      <c r="CD133" s="559">
        <v>0</v>
      </c>
      <c r="CE133" s="559">
        <v>0</v>
      </c>
      <c r="CH133" s="559">
        <v>1</v>
      </c>
      <c r="CR133" s="560"/>
    </row>
    <row r="134" spans="1:96" s="559" customFormat="1" hidden="1" outlineLevel="2" x14ac:dyDescent="0.2">
      <c r="C134" s="560" t="s">
        <v>864</v>
      </c>
      <c r="F134" s="562"/>
      <c r="I134" s="559">
        <v>18</v>
      </c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  <c r="AT134" s="561"/>
      <c r="AU134" s="561"/>
      <c r="AV134" s="561"/>
      <c r="AW134" s="561"/>
      <c r="AX134" s="561"/>
      <c r="AY134" s="561"/>
      <c r="AZ134" s="561"/>
      <c r="BA134" s="561"/>
      <c r="BB134" s="561"/>
      <c r="BC134" s="561"/>
      <c r="BD134" s="561"/>
      <c r="BE134" s="561"/>
      <c r="BF134" s="561"/>
      <c r="BG134" s="561"/>
      <c r="BH134" s="561"/>
      <c r="BI134" s="536"/>
      <c r="BK134" s="559" t="s">
        <v>896</v>
      </c>
      <c r="BL134" s="536"/>
      <c r="BS134" s="562"/>
      <c r="BT134" s="536"/>
      <c r="CA134" s="562">
        <v>0</v>
      </c>
      <c r="CB134" s="562">
        <v>0</v>
      </c>
      <c r="CC134" s="536"/>
      <c r="CR134" s="560"/>
    </row>
    <row r="135" spans="1:96" s="559" customFormat="1" hidden="1" outlineLevel="2" x14ac:dyDescent="0.2">
      <c r="C135" s="560" t="s">
        <v>865</v>
      </c>
      <c r="E135" s="559">
        <v>24</v>
      </c>
      <c r="F135" s="562">
        <v>6</v>
      </c>
      <c r="G135" s="559">
        <v>15</v>
      </c>
      <c r="H135" s="559">
        <v>6</v>
      </c>
      <c r="I135" s="559">
        <v>6</v>
      </c>
      <c r="J135" s="559">
        <v>7</v>
      </c>
      <c r="K135" s="559">
        <v>10</v>
      </c>
      <c r="L135" s="559">
        <v>2</v>
      </c>
      <c r="AJ135" s="561"/>
      <c r="AK135" s="561"/>
      <c r="AL135" s="561"/>
      <c r="AM135" s="561"/>
      <c r="AN135" s="561"/>
      <c r="AO135" s="561"/>
      <c r="AP135" s="561"/>
      <c r="AQ135" s="561"/>
      <c r="AR135" s="561"/>
      <c r="AS135" s="561"/>
      <c r="AT135" s="561"/>
      <c r="AU135" s="561"/>
      <c r="AV135" s="561"/>
      <c r="AW135" s="561"/>
      <c r="AX135" s="561"/>
      <c r="AY135" s="561"/>
      <c r="AZ135" s="561"/>
      <c r="BA135" s="561"/>
      <c r="BB135" s="561"/>
      <c r="BC135" s="561"/>
      <c r="BD135" s="561"/>
      <c r="BE135" s="561"/>
      <c r="BF135" s="561"/>
      <c r="BG135" s="561"/>
      <c r="BH135" s="561"/>
      <c r="BI135" s="536"/>
      <c r="BK135" s="559" t="s">
        <v>896</v>
      </c>
      <c r="BL135" s="536"/>
      <c r="BS135" s="562"/>
      <c r="BT135" s="536"/>
      <c r="CA135" s="562">
        <v>0</v>
      </c>
      <c r="CB135" s="562">
        <v>0</v>
      </c>
      <c r="CC135" s="536"/>
      <c r="CD135" s="559">
        <v>3</v>
      </c>
      <c r="CE135" s="559">
        <v>2</v>
      </c>
      <c r="CR135" s="560"/>
    </row>
    <row r="136" spans="1:96" s="559" customFormat="1" outlineLevel="1" collapsed="1" x14ac:dyDescent="0.2">
      <c r="C136" s="560"/>
      <c r="F136" s="562"/>
      <c r="AJ136" s="561"/>
      <c r="AK136" s="561"/>
      <c r="AL136" s="561"/>
      <c r="AM136" s="561"/>
      <c r="AN136" s="561"/>
      <c r="AO136" s="561"/>
      <c r="AP136" s="561"/>
      <c r="AQ136" s="561"/>
      <c r="AR136" s="561"/>
      <c r="AS136" s="561"/>
      <c r="AT136" s="561"/>
      <c r="AU136" s="561"/>
      <c r="AV136" s="561"/>
      <c r="AW136" s="561"/>
      <c r="AX136" s="561"/>
      <c r="AY136" s="561"/>
      <c r="AZ136" s="561"/>
      <c r="BA136" s="561"/>
      <c r="BB136" s="561"/>
      <c r="BC136" s="561"/>
      <c r="BD136" s="561"/>
      <c r="BE136" s="561"/>
      <c r="BF136" s="561"/>
      <c r="BG136" s="561"/>
      <c r="BH136" s="561"/>
      <c r="BI136" s="536"/>
      <c r="BK136" s="559" t="s">
        <v>896</v>
      </c>
      <c r="BL136" s="536"/>
      <c r="BS136" s="562"/>
      <c r="BT136" s="536"/>
      <c r="CA136" s="562"/>
      <c r="CB136" s="562"/>
      <c r="CC136" s="536"/>
      <c r="CR136" s="560"/>
    </row>
    <row r="137" spans="1:96" s="647" customFormat="1" outlineLevel="1" x14ac:dyDescent="0.2">
      <c r="C137" s="648" t="s">
        <v>866</v>
      </c>
      <c r="E137" s="647">
        <v>13</v>
      </c>
      <c r="F137" s="649">
        <v>14</v>
      </c>
      <c r="G137" s="649">
        <v>20</v>
      </c>
      <c r="H137" s="649">
        <v>20</v>
      </c>
      <c r="I137" s="649">
        <v>33</v>
      </c>
      <c r="J137" s="649">
        <v>9</v>
      </c>
      <c r="K137" s="649">
        <v>14</v>
      </c>
      <c r="L137" s="649">
        <v>18</v>
      </c>
      <c r="M137" s="649">
        <v>0</v>
      </c>
      <c r="N137" s="649">
        <v>0</v>
      </c>
      <c r="O137" s="649">
        <v>0</v>
      </c>
      <c r="P137" s="649">
        <v>0</v>
      </c>
      <c r="Q137" s="649">
        <v>0</v>
      </c>
      <c r="R137" s="649">
        <v>0</v>
      </c>
      <c r="S137" s="649"/>
      <c r="T137" s="649"/>
      <c r="U137" s="649"/>
      <c r="V137" s="649"/>
      <c r="W137" s="649"/>
      <c r="X137" s="649"/>
      <c r="Y137" s="649"/>
      <c r="Z137" s="649"/>
      <c r="AA137" s="649"/>
      <c r="AB137" s="649"/>
      <c r="AC137" s="649"/>
      <c r="AD137" s="649"/>
      <c r="AE137" s="649"/>
      <c r="AF137" s="649"/>
      <c r="AG137" s="649"/>
      <c r="AH137" s="649"/>
      <c r="AI137" s="649"/>
      <c r="AJ137" s="650"/>
      <c r="AK137" s="650"/>
      <c r="AL137" s="650"/>
      <c r="AM137" s="650"/>
      <c r="AN137" s="650"/>
      <c r="AO137" s="650"/>
      <c r="AP137" s="650"/>
      <c r="AQ137" s="650"/>
      <c r="AR137" s="650"/>
      <c r="AS137" s="650"/>
      <c r="AT137" s="650"/>
      <c r="AU137" s="650"/>
      <c r="AV137" s="650"/>
      <c r="AW137" s="650"/>
      <c r="AX137" s="650"/>
      <c r="AY137" s="650"/>
      <c r="AZ137" s="650"/>
      <c r="BA137" s="650"/>
      <c r="BB137" s="650"/>
      <c r="BC137" s="650"/>
      <c r="BD137" s="650"/>
      <c r="BE137" s="650"/>
      <c r="BF137" s="650"/>
      <c r="BG137" s="650"/>
      <c r="BH137" s="650"/>
      <c r="BI137" s="542"/>
      <c r="BJ137" s="649"/>
      <c r="BK137" s="649" t="s">
        <v>896</v>
      </c>
      <c r="BL137" s="542"/>
      <c r="BM137" s="649"/>
      <c r="BN137" s="649"/>
      <c r="BO137" s="649"/>
      <c r="BP137" s="649"/>
      <c r="BQ137" s="649"/>
      <c r="BR137" s="649"/>
      <c r="BS137" s="649"/>
      <c r="BT137" s="542"/>
      <c r="BU137" s="649"/>
      <c r="BV137" s="649"/>
      <c r="BW137" s="649"/>
      <c r="BX137" s="649"/>
      <c r="BY137" s="649"/>
      <c r="BZ137" s="649"/>
      <c r="CA137" s="649">
        <v>0</v>
      </c>
      <c r="CB137" s="649">
        <v>0</v>
      </c>
      <c r="CC137" s="542"/>
      <c r="CR137" s="648"/>
    </row>
    <row r="138" spans="1:96" s="559" customFormat="1" ht="14.45" customHeight="1" outlineLevel="1" x14ac:dyDescent="0.2">
      <c r="A138" s="559">
        <v>41962</v>
      </c>
      <c r="C138" s="560" t="s">
        <v>867</v>
      </c>
      <c r="E138" s="559">
        <v>1</v>
      </c>
      <c r="F138" s="562">
        <v>3</v>
      </c>
      <c r="G138" s="559">
        <v>2</v>
      </c>
      <c r="L138" s="559">
        <v>2</v>
      </c>
      <c r="Q138" s="559">
        <v>0</v>
      </c>
      <c r="R138" s="559">
        <v>0</v>
      </c>
      <c r="S138" s="559">
        <v>0</v>
      </c>
      <c r="T138" s="559">
        <v>0</v>
      </c>
      <c r="U138" s="559">
        <v>0</v>
      </c>
      <c r="V138" s="558">
        <v>0</v>
      </c>
      <c r="W138" s="558">
        <v>0</v>
      </c>
      <c r="X138" s="558">
        <v>0</v>
      </c>
      <c r="Y138" s="558">
        <v>0</v>
      </c>
      <c r="Z138" s="558">
        <v>0</v>
      </c>
      <c r="AA138" s="558">
        <v>0</v>
      </c>
      <c r="AB138" s="558">
        <v>0</v>
      </c>
      <c r="AC138" s="558">
        <v>0</v>
      </c>
      <c r="AD138" s="558">
        <v>0</v>
      </c>
      <c r="AE138" s="558">
        <v>0</v>
      </c>
      <c r="AF138" s="558">
        <v>0</v>
      </c>
      <c r="AG138" s="558">
        <v>0</v>
      </c>
      <c r="AH138" s="558">
        <v>0</v>
      </c>
      <c r="AI138" s="558">
        <v>0</v>
      </c>
      <c r="AJ138" s="563">
        <v>0</v>
      </c>
      <c r="AK138" s="563">
        <v>0</v>
      </c>
      <c r="AL138" s="563">
        <v>0</v>
      </c>
      <c r="AM138" s="563">
        <v>0</v>
      </c>
      <c r="AN138" s="563">
        <v>0</v>
      </c>
      <c r="AO138" s="563">
        <v>0</v>
      </c>
      <c r="AP138" s="563">
        <v>0</v>
      </c>
      <c r="AQ138" s="563">
        <v>0</v>
      </c>
      <c r="AR138" s="563">
        <v>0</v>
      </c>
      <c r="AS138" s="563">
        <v>0</v>
      </c>
      <c r="AT138" s="563">
        <v>0</v>
      </c>
      <c r="AU138" s="563">
        <v>0</v>
      </c>
      <c r="AV138" s="563">
        <v>0</v>
      </c>
      <c r="AW138" s="563">
        <v>0</v>
      </c>
      <c r="AX138" s="563">
        <v>0</v>
      </c>
      <c r="AY138" s="563">
        <v>0</v>
      </c>
      <c r="AZ138" s="563">
        <v>0</v>
      </c>
      <c r="BA138" s="563">
        <v>0</v>
      </c>
      <c r="BB138" s="563">
        <v>0</v>
      </c>
      <c r="BC138" s="563">
        <v>0</v>
      </c>
      <c r="BD138" s="563">
        <v>0</v>
      </c>
      <c r="BE138" s="563">
        <v>0</v>
      </c>
      <c r="BF138" s="563">
        <v>0</v>
      </c>
      <c r="BG138" s="563">
        <v>0</v>
      </c>
      <c r="BH138" s="563">
        <v>0</v>
      </c>
      <c r="BI138" s="536"/>
      <c r="BJ138" s="559">
        <v>0</v>
      </c>
      <c r="BK138" s="559">
        <v>0</v>
      </c>
      <c r="BL138" s="536"/>
      <c r="BM138" s="559">
        <v>0</v>
      </c>
      <c r="BN138" s="559">
        <v>0</v>
      </c>
      <c r="BO138" s="559">
        <v>0</v>
      </c>
      <c r="BP138" s="559">
        <v>0</v>
      </c>
      <c r="BQ138" s="559">
        <v>0</v>
      </c>
      <c r="BR138" s="559">
        <v>0</v>
      </c>
      <c r="BS138" s="559">
        <v>0</v>
      </c>
      <c r="BT138" s="536"/>
      <c r="BU138" s="559">
        <v>0</v>
      </c>
      <c r="BV138" s="559">
        <v>0</v>
      </c>
      <c r="BW138" s="559">
        <v>0</v>
      </c>
      <c r="BX138" s="559">
        <v>0</v>
      </c>
      <c r="BY138" s="559">
        <v>0</v>
      </c>
      <c r="BZ138" s="559">
        <v>0</v>
      </c>
      <c r="CA138" s="545">
        <v>0</v>
      </c>
      <c r="CB138" s="545">
        <v>0</v>
      </c>
      <c r="CC138" s="536"/>
      <c r="CK138" s="559" t="s">
        <v>896</v>
      </c>
      <c r="CL138" s="559" t="s">
        <v>896</v>
      </c>
      <c r="CM138" s="559" t="s">
        <v>896</v>
      </c>
      <c r="CN138" s="559" t="s">
        <v>896</v>
      </c>
      <c r="CO138" s="559" t="s">
        <v>896</v>
      </c>
      <c r="CP138" s="559" t="s">
        <v>896</v>
      </c>
      <c r="CQ138" s="559" t="s">
        <v>896</v>
      </c>
      <c r="CR138" s="560"/>
    </row>
    <row r="139" spans="1:96" s="627" customFormat="1" ht="14.45" hidden="1" customHeight="1" outlineLevel="2" x14ac:dyDescent="0.2">
      <c r="C139" s="626" t="s">
        <v>868</v>
      </c>
      <c r="E139" s="627">
        <v>0</v>
      </c>
      <c r="F139" s="628">
        <v>4</v>
      </c>
      <c r="AJ139" s="651"/>
      <c r="AK139" s="651"/>
      <c r="AL139" s="651"/>
      <c r="AM139" s="651"/>
      <c r="AN139" s="651"/>
      <c r="AO139" s="651"/>
      <c r="AP139" s="651"/>
      <c r="AQ139" s="651"/>
      <c r="AR139" s="651"/>
      <c r="AS139" s="651"/>
      <c r="AT139" s="651"/>
      <c r="AU139" s="651"/>
      <c r="AV139" s="651"/>
      <c r="AW139" s="651"/>
      <c r="AX139" s="651"/>
      <c r="AY139" s="651"/>
      <c r="AZ139" s="651"/>
      <c r="BA139" s="651"/>
      <c r="BB139" s="651"/>
      <c r="BC139" s="651"/>
      <c r="BD139" s="651"/>
      <c r="BE139" s="651"/>
      <c r="BF139" s="651"/>
      <c r="BG139" s="651"/>
      <c r="BH139" s="651"/>
      <c r="BI139" s="652"/>
      <c r="BK139" s="627" t="s">
        <v>896</v>
      </c>
      <c r="BL139" s="652"/>
      <c r="BS139" s="543" t="s">
        <v>896</v>
      </c>
      <c r="BT139" s="652"/>
      <c r="CA139" s="562">
        <v>0</v>
      </c>
      <c r="CB139" s="562">
        <v>0</v>
      </c>
      <c r="CC139" s="652"/>
      <c r="CR139" s="626"/>
    </row>
    <row r="140" spans="1:96" s="559" customFormat="1" ht="14.45" hidden="1" customHeight="1" outlineLevel="2" x14ac:dyDescent="0.2">
      <c r="C140" s="560" t="s">
        <v>869</v>
      </c>
      <c r="E140" s="559">
        <v>0</v>
      </c>
      <c r="F140" s="562">
        <v>3</v>
      </c>
      <c r="G140" s="559">
        <v>7</v>
      </c>
      <c r="H140" s="559">
        <v>5</v>
      </c>
      <c r="I140" s="559">
        <v>14</v>
      </c>
      <c r="K140" s="559">
        <v>7</v>
      </c>
      <c r="L140" s="559">
        <v>7</v>
      </c>
      <c r="AJ140" s="561"/>
      <c r="AK140" s="561"/>
      <c r="AL140" s="561"/>
      <c r="AM140" s="561"/>
      <c r="AN140" s="561"/>
      <c r="AO140" s="561"/>
      <c r="AP140" s="561"/>
      <c r="AQ140" s="561"/>
      <c r="AR140" s="561"/>
      <c r="AS140" s="561"/>
      <c r="AT140" s="561"/>
      <c r="AU140" s="561"/>
      <c r="AV140" s="561"/>
      <c r="AW140" s="561"/>
      <c r="AX140" s="561"/>
      <c r="AY140" s="561"/>
      <c r="AZ140" s="561"/>
      <c r="BA140" s="561"/>
      <c r="BB140" s="561"/>
      <c r="BC140" s="561"/>
      <c r="BD140" s="561"/>
      <c r="BE140" s="561"/>
      <c r="BF140" s="561"/>
      <c r="BG140" s="561"/>
      <c r="BH140" s="561"/>
      <c r="BI140" s="536"/>
      <c r="BK140" s="559" t="s">
        <v>896</v>
      </c>
      <c r="BL140" s="536"/>
      <c r="BS140" s="543" t="s">
        <v>896</v>
      </c>
      <c r="BT140" s="536"/>
      <c r="CA140" s="562">
        <v>0</v>
      </c>
      <c r="CB140" s="562">
        <v>0</v>
      </c>
      <c r="CC140" s="536"/>
      <c r="CR140" s="560"/>
    </row>
    <row r="141" spans="1:96" s="559" customFormat="1" ht="14.45" hidden="1" customHeight="1" outlineLevel="2" x14ac:dyDescent="0.2">
      <c r="C141" s="560" t="s">
        <v>870</v>
      </c>
      <c r="E141" s="559">
        <v>2</v>
      </c>
      <c r="F141" s="562">
        <v>1</v>
      </c>
      <c r="G141" s="559">
        <v>3</v>
      </c>
      <c r="H141" s="559">
        <v>1</v>
      </c>
      <c r="I141" s="559">
        <v>9</v>
      </c>
      <c r="AJ141" s="561"/>
      <c r="AK141" s="561"/>
      <c r="AL141" s="561"/>
      <c r="AM141" s="561"/>
      <c r="AN141" s="561"/>
      <c r="AO141" s="561"/>
      <c r="AP141" s="561"/>
      <c r="AQ141" s="561"/>
      <c r="AR141" s="561"/>
      <c r="AS141" s="561"/>
      <c r="AT141" s="561"/>
      <c r="AU141" s="561"/>
      <c r="AV141" s="561"/>
      <c r="AW141" s="561"/>
      <c r="AX141" s="561"/>
      <c r="AY141" s="561"/>
      <c r="AZ141" s="561"/>
      <c r="BA141" s="561"/>
      <c r="BB141" s="561"/>
      <c r="BC141" s="561"/>
      <c r="BD141" s="561"/>
      <c r="BE141" s="561"/>
      <c r="BF141" s="561"/>
      <c r="BG141" s="561"/>
      <c r="BH141" s="561"/>
      <c r="BI141" s="536"/>
      <c r="BK141" s="559" t="s">
        <v>896</v>
      </c>
      <c r="BL141" s="536"/>
      <c r="BS141" s="543" t="s">
        <v>896</v>
      </c>
      <c r="BT141" s="536"/>
      <c r="CA141" s="562">
        <v>0</v>
      </c>
      <c r="CB141" s="562">
        <v>0</v>
      </c>
      <c r="CC141" s="536"/>
      <c r="CR141" s="560"/>
    </row>
    <row r="142" spans="1:96" s="559" customFormat="1" ht="14.45" hidden="1" customHeight="1" outlineLevel="2" x14ac:dyDescent="0.2">
      <c r="C142" s="560" t="s">
        <v>871</v>
      </c>
      <c r="E142" s="559">
        <v>3</v>
      </c>
      <c r="F142" s="562">
        <v>0</v>
      </c>
      <c r="G142" s="559">
        <v>4</v>
      </c>
      <c r="H142" s="559">
        <v>7</v>
      </c>
      <c r="I142" s="559">
        <v>5</v>
      </c>
      <c r="J142" s="559">
        <v>2</v>
      </c>
      <c r="AJ142" s="561"/>
      <c r="AK142" s="561"/>
      <c r="AL142" s="561"/>
      <c r="AM142" s="561"/>
      <c r="AN142" s="561"/>
      <c r="AO142" s="561"/>
      <c r="AP142" s="561"/>
      <c r="AQ142" s="561"/>
      <c r="AR142" s="561"/>
      <c r="AS142" s="561"/>
      <c r="AT142" s="561"/>
      <c r="AU142" s="561"/>
      <c r="AV142" s="561"/>
      <c r="AW142" s="561"/>
      <c r="AX142" s="561"/>
      <c r="AY142" s="561"/>
      <c r="AZ142" s="561"/>
      <c r="BA142" s="561"/>
      <c r="BB142" s="561"/>
      <c r="BC142" s="561"/>
      <c r="BD142" s="561"/>
      <c r="BE142" s="561"/>
      <c r="BF142" s="561"/>
      <c r="BG142" s="561"/>
      <c r="BH142" s="561"/>
      <c r="BI142" s="536"/>
      <c r="BK142" s="559" t="s">
        <v>896</v>
      </c>
      <c r="BL142" s="536"/>
      <c r="BS142" s="543" t="s">
        <v>896</v>
      </c>
      <c r="BT142" s="536"/>
      <c r="CA142" s="562">
        <v>0</v>
      </c>
      <c r="CB142" s="562">
        <v>0</v>
      </c>
      <c r="CC142" s="536"/>
      <c r="CR142" s="560"/>
    </row>
    <row r="143" spans="1:96" s="559" customFormat="1" ht="14.45" hidden="1" customHeight="1" outlineLevel="2" x14ac:dyDescent="0.2">
      <c r="C143" s="560" t="s">
        <v>872</v>
      </c>
      <c r="E143" s="559">
        <v>8</v>
      </c>
      <c r="F143" s="562">
        <v>6</v>
      </c>
      <c r="G143" s="559">
        <v>6</v>
      </c>
      <c r="H143" s="559">
        <v>7</v>
      </c>
      <c r="I143" s="559">
        <v>5</v>
      </c>
      <c r="J143" s="559">
        <v>7</v>
      </c>
      <c r="K143" s="559">
        <v>7</v>
      </c>
      <c r="L143" s="559">
        <v>11</v>
      </c>
      <c r="AJ143" s="561"/>
      <c r="AK143" s="561"/>
      <c r="AL143" s="561"/>
      <c r="AM143" s="561"/>
      <c r="AN143" s="561"/>
      <c r="AO143" s="561"/>
      <c r="AP143" s="561"/>
      <c r="AQ143" s="561"/>
      <c r="AR143" s="561"/>
      <c r="AS143" s="561"/>
      <c r="AT143" s="561"/>
      <c r="AU143" s="561"/>
      <c r="AV143" s="561"/>
      <c r="AW143" s="561"/>
      <c r="AX143" s="561"/>
      <c r="AY143" s="561"/>
      <c r="AZ143" s="561"/>
      <c r="BA143" s="561"/>
      <c r="BB143" s="561"/>
      <c r="BC143" s="561"/>
      <c r="BD143" s="561"/>
      <c r="BE143" s="561"/>
      <c r="BF143" s="561"/>
      <c r="BG143" s="561"/>
      <c r="BH143" s="561"/>
      <c r="BI143" s="536"/>
      <c r="BK143" s="559" t="s">
        <v>896</v>
      </c>
      <c r="BL143" s="536"/>
      <c r="BS143" s="543" t="s">
        <v>896</v>
      </c>
      <c r="BT143" s="536"/>
      <c r="CA143" s="562">
        <v>0</v>
      </c>
      <c r="CB143" s="562">
        <v>0</v>
      </c>
      <c r="CC143" s="536"/>
      <c r="CR143" s="560"/>
    </row>
    <row r="144" spans="1:96" s="559" customFormat="1" ht="14.45" hidden="1" customHeight="1" outlineLevel="2" x14ac:dyDescent="0.2">
      <c r="C144" s="560" t="s">
        <v>873</v>
      </c>
      <c r="F144" s="562"/>
      <c r="AJ144" s="561"/>
      <c r="AK144" s="561"/>
      <c r="AL144" s="561"/>
      <c r="AM144" s="561"/>
      <c r="AN144" s="561"/>
      <c r="AO144" s="561"/>
      <c r="AP144" s="561"/>
      <c r="AQ144" s="561"/>
      <c r="AR144" s="561"/>
      <c r="AS144" s="561"/>
      <c r="AT144" s="561"/>
      <c r="AU144" s="561"/>
      <c r="AV144" s="561"/>
      <c r="AW144" s="561"/>
      <c r="AX144" s="561"/>
      <c r="AY144" s="561"/>
      <c r="AZ144" s="561"/>
      <c r="BA144" s="561"/>
      <c r="BB144" s="561"/>
      <c r="BC144" s="561"/>
      <c r="BD144" s="561"/>
      <c r="BE144" s="561"/>
      <c r="BF144" s="561"/>
      <c r="BG144" s="561"/>
      <c r="BH144" s="561"/>
      <c r="BI144" s="536"/>
      <c r="BK144" s="559" t="s">
        <v>896</v>
      </c>
      <c r="BL144" s="536"/>
      <c r="BS144" s="543" t="s">
        <v>896</v>
      </c>
      <c r="BT144" s="536"/>
      <c r="CA144" s="562">
        <v>0</v>
      </c>
      <c r="CB144" s="562">
        <v>0</v>
      </c>
      <c r="CC144" s="536"/>
      <c r="CR144" s="560"/>
    </row>
    <row r="145" spans="1:96" s="559" customFormat="1" outlineLevel="1" collapsed="1" x14ac:dyDescent="0.2">
      <c r="A145" s="559">
        <v>30924</v>
      </c>
      <c r="C145" s="606" t="s">
        <v>874</v>
      </c>
      <c r="F145" s="562">
        <v>10</v>
      </c>
      <c r="J145" s="559">
        <v>10</v>
      </c>
      <c r="Q145" s="559" t="s">
        <v>896</v>
      </c>
      <c r="R145" s="559" t="s">
        <v>896</v>
      </c>
      <c r="S145" s="559" t="s">
        <v>896</v>
      </c>
      <c r="T145" s="559" t="s">
        <v>896</v>
      </c>
      <c r="U145" s="559" t="s">
        <v>896</v>
      </c>
      <c r="V145" s="559" t="s">
        <v>896</v>
      </c>
      <c r="W145" s="559" t="s">
        <v>896</v>
      </c>
      <c r="X145" s="559" t="s">
        <v>896</v>
      </c>
      <c r="Y145" s="558">
        <v>1</v>
      </c>
      <c r="Z145" s="558" t="s">
        <v>896</v>
      </c>
      <c r="AA145" s="558" t="s">
        <v>896</v>
      </c>
      <c r="AB145" s="558" t="s">
        <v>896</v>
      </c>
      <c r="AC145" s="558" t="s">
        <v>896</v>
      </c>
      <c r="AD145" s="558" t="s">
        <v>896</v>
      </c>
      <c r="AE145" s="558" t="s">
        <v>896</v>
      </c>
      <c r="AF145" s="558" t="s">
        <v>896</v>
      </c>
      <c r="AG145" s="558" t="s">
        <v>896</v>
      </c>
      <c r="AH145" s="558" t="s">
        <v>896</v>
      </c>
      <c r="AI145" s="558" t="s">
        <v>896</v>
      </c>
      <c r="AJ145" s="563" t="s">
        <v>896</v>
      </c>
      <c r="AK145" s="563" t="s">
        <v>896</v>
      </c>
      <c r="AL145" s="563" t="s">
        <v>896</v>
      </c>
      <c r="AM145" s="563" t="s">
        <v>896</v>
      </c>
      <c r="AN145" s="563" t="s">
        <v>896</v>
      </c>
      <c r="AO145" s="563" t="s">
        <v>896</v>
      </c>
      <c r="AP145" s="563" t="s">
        <v>896</v>
      </c>
      <c r="AQ145" s="563" t="s">
        <v>896</v>
      </c>
      <c r="AR145" s="563" t="s">
        <v>896</v>
      </c>
      <c r="AS145" s="563" t="s">
        <v>896</v>
      </c>
      <c r="AT145" s="563" t="s">
        <v>896</v>
      </c>
      <c r="AU145" s="563" t="s">
        <v>896</v>
      </c>
      <c r="AV145" s="563" t="s">
        <v>896</v>
      </c>
      <c r="AW145" s="563" t="s">
        <v>896</v>
      </c>
      <c r="AX145" s="563" t="s">
        <v>896</v>
      </c>
      <c r="AY145" s="563" t="s">
        <v>896</v>
      </c>
      <c r="AZ145" s="563" t="s">
        <v>896</v>
      </c>
      <c r="BA145" s="563" t="s">
        <v>896</v>
      </c>
      <c r="BB145" s="563" t="s">
        <v>896</v>
      </c>
      <c r="BC145" s="563" t="s">
        <v>896</v>
      </c>
      <c r="BD145" s="563" t="s">
        <v>896</v>
      </c>
      <c r="BE145" s="563" t="s">
        <v>896</v>
      </c>
      <c r="BF145" s="563" t="s">
        <v>896</v>
      </c>
      <c r="BG145" s="563" t="s">
        <v>896</v>
      </c>
      <c r="BH145" s="563" t="s">
        <v>896</v>
      </c>
      <c r="BI145" s="536"/>
      <c r="BK145" s="559" t="s">
        <v>896</v>
      </c>
      <c r="BL145" s="536"/>
      <c r="BS145" s="543" t="s">
        <v>896</v>
      </c>
      <c r="BT145" s="536"/>
      <c r="CA145" s="545">
        <v>0</v>
      </c>
      <c r="CB145" s="545">
        <v>0</v>
      </c>
      <c r="CC145" s="536"/>
      <c r="CK145" s="559" t="s">
        <v>896</v>
      </c>
      <c r="CL145" s="559" t="s">
        <v>896</v>
      </c>
      <c r="CM145" s="559" t="s">
        <v>896</v>
      </c>
      <c r="CN145" s="559" t="s">
        <v>896</v>
      </c>
      <c r="CO145" s="559" t="s">
        <v>896</v>
      </c>
      <c r="CP145" s="559" t="s">
        <v>896</v>
      </c>
      <c r="CQ145" s="559" t="s">
        <v>896</v>
      </c>
      <c r="CR145" s="560"/>
    </row>
    <row r="146" spans="1:96" s="559" customFormat="1" x14ac:dyDescent="0.2">
      <c r="C146" s="560"/>
      <c r="F146" s="562"/>
      <c r="AJ146" s="561"/>
      <c r="AK146" s="561"/>
      <c r="AL146" s="561"/>
      <c r="AM146" s="561"/>
      <c r="AN146" s="561"/>
      <c r="AO146" s="561"/>
      <c r="AP146" s="561"/>
      <c r="AQ146" s="561"/>
      <c r="AR146" s="561"/>
      <c r="AS146" s="561"/>
      <c r="AT146" s="561"/>
      <c r="AU146" s="561"/>
      <c r="AV146" s="561"/>
      <c r="AW146" s="561"/>
      <c r="AX146" s="561"/>
      <c r="AY146" s="561"/>
      <c r="AZ146" s="561"/>
      <c r="BA146" s="561"/>
      <c r="BB146" s="561"/>
      <c r="BC146" s="561"/>
      <c r="BD146" s="561"/>
      <c r="BE146" s="561"/>
      <c r="BF146" s="561"/>
      <c r="BG146" s="561"/>
      <c r="BH146" s="561"/>
      <c r="BI146" s="536"/>
      <c r="BK146" s="559" t="s">
        <v>896</v>
      </c>
      <c r="BL146" s="536"/>
      <c r="BS146" s="543" t="s">
        <v>896</v>
      </c>
      <c r="BT146" s="536"/>
      <c r="CA146" s="545">
        <v>0</v>
      </c>
      <c r="CB146" s="545">
        <v>0</v>
      </c>
      <c r="CC146" s="536"/>
      <c r="CR146" s="560"/>
    </row>
    <row r="147" spans="1:96" s="559" customFormat="1" x14ac:dyDescent="0.2">
      <c r="C147" s="626" t="s">
        <v>875</v>
      </c>
      <c r="E147" s="559">
        <v>45</v>
      </c>
      <c r="F147" s="559">
        <v>38</v>
      </c>
      <c r="G147" s="559">
        <v>37</v>
      </c>
      <c r="H147" s="559">
        <v>41</v>
      </c>
      <c r="N147" s="559">
        <v>0</v>
      </c>
      <c r="AJ147" s="561"/>
      <c r="AK147" s="561"/>
      <c r="AL147" s="561"/>
      <c r="AM147" s="561"/>
      <c r="AN147" s="561"/>
      <c r="AO147" s="561"/>
      <c r="AP147" s="561"/>
      <c r="AQ147" s="561"/>
      <c r="AR147" s="561"/>
      <c r="AS147" s="561"/>
      <c r="AT147" s="561"/>
      <c r="AU147" s="561"/>
      <c r="AV147" s="561"/>
      <c r="AW147" s="561"/>
      <c r="AX147" s="561"/>
      <c r="AY147" s="561"/>
      <c r="AZ147" s="561"/>
      <c r="BA147" s="561"/>
      <c r="BB147" s="561"/>
      <c r="BC147" s="561"/>
      <c r="BD147" s="561"/>
      <c r="BE147" s="561"/>
      <c r="BF147" s="561"/>
      <c r="BG147" s="561"/>
      <c r="BH147" s="561"/>
      <c r="BI147" s="536"/>
      <c r="BK147" s="562" t="s">
        <v>896</v>
      </c>
      <c r="BL147" s="536"/>
      <c r="BS147" s="543" t="s">
        <v>896</v>
      </c>
      <c r="BT147" s="536"/>
      <c r="CA147" s="545">
        <v>0</v>
      </c>
      <c r="CB147" s="545">
        <v>0</v>
      </c>
      <c r="CC147" s="536"/>
      <c r="CR147" s="560"/>
    </row>
    <row r="148" spans="1:96" s="559" customFormat="1" x14ac:dyDescent="0.2">
      <c r="C148" s="626" t="s">
        <v>876</v>
      </c>
      <c r="F148" s="562"/>
      <c r="I148" s="559">
        <v>57</v>
      </c>
      <c r="J148" s="559">
        <v>51</v>
      </c>
      <c r="K148" s="559">
        <v>71</v>
      </c>
      <c r="L148" s="559">
        <v>83</v>
      </c>
      <c r="M148" s="559">
        <v>106</v>
      </c>
      <c r="N148" s="559">
        <v>93</v>
      </c>
      <c r="O148" s="559">
        <v>118</v>
      </c>
      <c r="P148" s="559">
        <v>107</v>
      </c>
      <c r="Q148" s="559">
        <v>120</v>
      </c>
      <c r="R148" s="559">
        <v>119</v>
      </c>
      <c r="S148" s="559">
        <v>125</v>
      </c>
      <c r="T148" s="559">
        <v>129</v>
      </c>
      <c r="U148" s="559">
        <v>140</v>
      </c>
      <c r="V148" s="559">
        <v>160</v>
      </c>
      <c r="W148" s="559">
        <v>111</v>
      </c>
      <c r="X148" s="559">
        <v>93</v>
      </c>
      <c r="Y148" s="559">
        <v>119</v>
      </c>
      <c r="Z148" s="559">
        <v>134</v>
      </c>
      <c r="AA148" s="559">
        <v>142</v>
      </c>
      <c r="AB148" s="559">
        <v>126</v>
      </c>
      <c r="AC148" s="559">
        <v>106</v>
      </c>
      <c r="AD148" s="559">
        <v>111</v>
      </c>
      <c r="AE148" s="559">
        <v>122</v>
      </c>
      <c r="AF148" s="559">
        <v>172</v>
      </c>
      <c r="AG148" s="559">
        <v>134</v>
      </c>
      <c r="AH148" s="559">
        <v>111</v>
      </c>
      <c r="AI148" s="559">
        <v>189</v>
      </c>
      <c r="AJ148" s="561">
        <v>153</v>
      </c>
      <c r="AK148" s="561">
        <v>176</v>
      </c>
      <c r="AL148" s="561">
        <v>156</v>
      </c>
      <c r="AM148" s="561">
        <v>198</v>
      </c>
      <c r="AN148" s="561">
        <v>190</v>
      </c>
      <c r="AO148" s="561">
        <v>190</v>
      </c>
      <c r="AP148" s="561">
        <v>200</v>
      </c>
      <c r="AQ148" s="561">
        <v>172</v>
      </c>
      <c r="AR148" s="561">
        <v>196</v>
      </c>
      <c r="AS148" s="561">
        <v>183</v>
      </c>
      <c r="AT148" s="561">
        <v>196</v>
      </c>
      <c r="AU148" s="561">
        <v>157</v>
      </c>
      <c r="AV148" s="561">
        <v>140</v>
      </c>
      <c r="AW148" s="561">
        <v>181</v>
      </c>
      <c r="AX148" s="561">
        <v>154</v>
      </c>
      <c r="AY148" s="561">
        <v>190</v>
      </c>
      <c r="AZ148" s="561">
        <v>205</v>
      </c>
      <c r="BA148" s="561">
        <v>189</v>
      </c>
      <c r="BB148" s="561">
        <v>211</v>
      </c>
      <c r="BC148" s="561">
        <v>177</v>
      </c>
      <c r="BD148" s="561">
        <v>162</v>
      </c>
      <c r="BE148" s="561">
        <v>136</v>
      </c>
      <c r="BF148" s="561">
        <v>193</v>
      </c>
      <c r="BG148" s="561">
        <v>163</v>
      </c>
      <c r="BH148" s="561">
        <v>139</v>
      </c>
      <c r="BI148" s="536"/>
      <c r="BJ148" s="559">
        <v>140</v>
      </c>
      <c r="BK148" s="562">
        <v>-1</v>
      </c>
      <c r="BL148" s="536"/>
      <c r="BM148" s="559">
        <v>140</v>
      </c>
      <c r="BN148" s="559">
        <v>140</v>
      </c>
      <c r="BO148" s="559">
        <v>140</v>
      </c>
      <c r="BP148" s="559">
        <v>140</v>
      </c>
      <c r="BQ148" s="559">
        <v>140</v>
      </c>
      <c r="BR148" s="559">
        <v>140</v>
      </c>
      <c r="BS148" s="559">
        <v>1810</v>
      </c>
      <c r="BT148" s="536"/>
      <c r="BU148" s="559">
        <v>140</v>
      </c>
      <c r="BV148" s="559">
        <v>140</v>
      </c>
      <c r="BW148" s="559">
        <v>140</v>
      </c>
      <c r="BX148" s="559">
        <v>140</v>
      </c>
      <c r="BY148" s="559">
        <v>140</v>
      </c>
      <c r="BZ148" s="559">
        <v>140</v>
      </c>
      <c r="CA148" s="562">
        <v>840</v>
      </c>
      <c r="CB148" s="562">
        <v>10080</v>
      </c>
      <c r="CC148" s="536"/>
      <c r="CR148" s="560"/>
    </row>
    <row r="149" spans="1:96" s="559" customFormat="1" x14ac:dyDescent="0.2">
      <c r="C149" s="619" t="s">
        <v>877</v>
      </c>
      <c r="E149" s="631">
        <v>45</v>
      </c>
      <c r="F149" s="631">
        <v>38</v>
      </c>
      <c r="G149" s="631">
        <v>37</v>
      </c>
      <c r="H149" s="631">
        <v>41</v>
      </c>
      <c r="I149" s="631">
        <v>57</v>
      </c>
      <c r="J149" s="631">
        <v>51</v>
      </c>
      <c r="K149" s="631">
        <v>71</v>
      </c>
      <c r="L149" s="631">
        <v>83</v>
      </c>
      <c r="M149" s="631">
        <v>106</v>
      </c>
      <c r="N149" s="631">
        <v>93</v>
      </c>
      <c r="O149" s="631">
        <v>118</v>
      </c>
      <c r="P149" s="631">
        <v>107</v>
      </c>
      <c r="Q149" s="631">
        <v>120</v>
      </c>
      <c r="R149" s="631">
        <v>119</v>
      </c>
      <c r="S149" s="631">
        <v>125</v>
      </c>
      <c r="T149" s="631">
        <v>129</v>
      </c>
      <c r="U149" s="631">
        <v>140</v>
      </c>
      <c r="V149" s="631">
        <v>160</v>
      </c>
      <c r="W149" s="631">
        <v>111</v>
      </c>
      <c r="X149" s="631">
        <v>93</v>
      </c>
      <c r="Y149" s="631">
        <v>119</v>
      </c>
      <c r="Z149" s="631">
        <v>134</v>
      </c>
      <c r="AA149" s="631">
        <v>142</v>
      </c>
      <c r="AB149" s="631">
        <v>126</v>
      </c>
      <c r="AC149" s="631">
        <v>106</v>
      </c>
      <c r="AD149" s="631">
        <v>111</v>
      </c>
      <c r="AE149" s="631">
        <v>122</v>
      </c>
      <c r="AF149" s="631">
        <v>172</v>
      </c>
      <c r="AG149" s="631">
        <v>134</v>
      </c>
      <c r="AH149" s="631">
        <v>111</v>
      </c>
      <c r="AI149" s="631">
        <v>189</v>
      </c>
      <c r="AJ149" s="640">
        <v>153</v>
      </c>
      <c r="AK149" s="640">
        <v>176</v>
      </c>
      <c r="AL149" s="640">
        <v>156</v>
      </c>
      <c r="AM149" s="640">
        <v>198</v>
      </c>
      <c r="AN149" s="640">
        <v>190</v>
      </c>
      <c r="AO149" s="640">
        <v>190</v>
      </c>
      <c r="AP149" s="640">
        <v>200</v>
      </c>
      <c r="AQ149" s="640">
        <v>172</v>
      </c>
      <c r="AR149" s="640">
        <v>196</v>
      </c>
      <c r="AS149" s="640">
        <v>183</v>
      </c>
      <c r="AT149" s="640">
        <v>196</v>
      </c>
      <c r="AU149" s="640">
        <v>157</v>
      </c>
      <c r="AV149" s="640">
        <v>140</v>
      </c>
      <c r="AW149" s="640">
        <v>181</v>
      </c>
      <c r="AX149" s="640">
        <v>154</v>
      </c>
      <c r="AY149" s="640">
        <v>190</v>
      </c>
      <c r="AZ149" s="640">
        <v>205</v>
      </c>
      <c r="BA149" s="640">
        <v>189</v>
      </c>
      <c r="BB149" s="640">
        <v>211</v>
      </c>
      <c r="BC149" s="640">
        <v>177</v>
      </c>
      <c r="BD149" s="640">
        <v>162</v>
      </c>
      <c r="BE149" s="640">
        <v>136</v>
      </c>
      <c r="BF149" s="640">
        <v>193</v>
      </c>
      <c r="BG149" s="640">
        <v>163</v>
      </c>
      <c r="BH149" s="640">
        <v>139</v>
      </c>
      <c r="BI149" s="536"/>
      <c r="BJ149" s="631">
        <v>140</v>
      </c>
      <c r="BK149" s="631">
        <v>-1</v>
      </c>
      <c r="BL149" s="536"/>
      <c r="BM149" s="631">
        <v>140</v>
      </c>
      <c r="BN149" s="631">
        <v>140</v>
      </c>
      <c r="BO149" s="631">
        <v>140</v>
      </c>
      <c r="BP149" s="631">
        <v>140</v>
      </c>
      <c r="BQ149" s="631">
        <v>140</v>
      </c>
      <c r="BR149" s="631">
        <v>140</v>
      </c>
      <c r="BS149" s="631">
        <v>1810</v>
      </c>
      <c r="BT149" s="536"/>
      <c r="BU149" s="631">
        <v>140</v>
      </c>
      <c r="BV149" s="631">
        <v>140</v>
      </c>
      <c r="BW149" s="631">
        <v>140</v>
      </c>
      <c r="BX149" s="631">
        <v>140</v>
      </c>
      <c r="BY149" s="631">
        <v>140</v>
      </c>
      <c r="BZ149" s="631">
        <v>140</v>
      </c>
      <c r="CA149" s="631">
        <v>840</v>
      </c>
      <c r="CB149" s="631">
        <v>10080</v>
      </c>
      <c r="CC149" s="536"/>
      <c r="CR149" s="560"/>
    </row>
    <row r="150" spans="1:96" s="559" customFormat="1" x14ac:dyDescent="0.2">
      <c r="C150" s="560"/>
      <c r="F150" s="562"/>
      <c r="AJ150" s="561"/>
      <c r="AK150" s="561"/>
      <c r="AL150" s="561"/>
      <c r="AM150" s="561"/>
      <c r="AN150" s="561"/>
      <c r="AO150" s="561"/>
      <c r="AP150" s="561"/>
      <c r="AQ150" s="561"/>
      <c r="AR150" s="561"/>
      <c r="AS150" s="561"/>
      <c r="AT150" s="561"/>
      <c r="AU150" s="561"/>
      <c r="AV150" s="561"/>
      <c r="AW150" s="561"/>
      <c r="AX150" s="561"/>
      <c r="AY150" s="561"/>
      <c r="AZ150" s="561"/>
      <c r="BA150" s="561"/>
      <c r="BB150" s="561"/>
      <c r="BC150" s="561"/>
      <c r="BD150" s="561"/>
      <c r="BE150" s="561"/>
      <c r="BF150" s="561"/>
      <c r="BG150" s="561"/>
      <c r="BH150" s="561"/>
      <c r="BI150" s="536"/>
      <c r="BL150" s="536"/>
      <c r="BS150" s="562"/>
      <c r="BT150" s="536"/>
      <c r="CA150" s="562"/>
      <c r="CB150" s="562"/>
      <c r="CC150" s="536"/>
      <c r="CR150" s="560"/>
    </row>
    <row r="151" spans="1:96" s="559" customFormat="1" x14ac:dyDescent="0.2">
      <c r="C151" s="560"/>
      <c r="F151" s="562"/>
      <c r="AJ151" s="561"/>
      <c r="AK151" s="561"/>
      <c r="AL151" s="561"/>
      <c r="AM151" s="561"/>
      <c r="AN151" s="561"/>
      <c r="AO151" s="561"/>
      <c r="AP151" s="561"/>
      <c r="AQ151" s="561"/>
      <c r="AR151" s="561"/>
      <c r="AS151" s="561"/>
      <c r="AT151" s="561"/>
      <c r="AU151" s="561"/>
      <c r="AV151" s="561"/>
      <c r="AW151" s="561"/>
      <c r="AX151" s="561"/>
      <c r="AY151" s="561"/>
      <c r="AZ151" s="561"/>
      <c r="BA151" s="561"/>
      <c r="BB151" s="561"/>
      <c r="BC151" s="561"/>
      <c r="BD151" s="561"/>
      <c r="BE151" s="561"/>
      <c r="BF151" s="561"/>
      <c r="BG151" s="561"/>
      <c r="BH151" s="561"/>
      <c r="BI151" s="536"/>
      <c r="BL151" s="536"/>
      <c r="BS151" s="562"/>
      <c r="BT151" s="536"/>
      <c r="CA151" s="562"/>
      <c r="CB151" s="562"/>
      <c r="CC151" s="536"/>
      <c r="CR151" s="560"/>
    </row>
    <row r="152" spans="1:96" s="559" customFormat="1" x14ac:dyDescent="0.2">
      <c r="C152" s="560"/>
      <c r="F152" s="562"/>
      <c r="AJ152" s="561"/>
      <c r="AK152" s="561"/>
      <c r="AL152" s="561"/>
      <c r="AM152" s="561"/>
      <c r="AN152" s="561"/>
      <c r="AO152" s="561"/>
      <c r="AP152" s="561"/>
      <c r="AQ152" s="561"/>
      <c r="AR152" s="561"/>
      <c r="AS152" s="561"/>
      <c r="AT152" s="561"/>
      <c r="AU152" s="561"/>
      <c r="AV152" s="561"/>
      <c r="AW152" s="561"/>
      <c r="AX152" s="561"/>
      <c r="AY152" s="561"/>
      <c r="AZ152" s="561"/>
      <c r="BA152" s="561"/>
      <c r="BB152" s="561"/>
      <c r="BC152" s="561"/>
      <c r="BD152" s="561"/>
      <c r="BE152" s="561"/>
      <c r="BF152" s="561"/>
      <c r="BG152" s="561"/>
      <c r="BH152" s="561"/>
      <c r="BI152" s="536"/>
      <c r="BL152" s="536"/>
      <c r="BS152" s="562"/>
      <c r="BT152" s="536"/>
      <c r="CA152" s="562"/>
      <c r="CB152" s="562"/>
      <c r="CC152" s="536"/>
      <c r="CR152" s="560"/>
    </row>
    <row r="153" spans="1:96" s="559" customFormat="1" x14ac:dyDescent="0.2">
      <c r="C153" s="560"/>
      <c r="F153" s="562"/>
      <c r="AJ153" s="561"/>
      <c r="AK153" s="561"/>
      <c r="AL153" s="561"/>
      <c r="AM153" s="561"/>
      <c r="AN153" s="561"/>
      <c r="AO153" s="561"/>
      <c r="AP153" s="561"/>
      <c r="AQ153" s="561"/>
      <c r="AR153" s="561"/>
      <c r="AS153" s="561"/>
      <c r="AT153" s="561"/>
      <c r="AU153" s="561"/>
      <c r="AV153" s="561"/>
      <c r="AW153" s="561"/>
      <c r="AX153" s="561"/>
      <c r="AY153" s="561"/>
      <c r="AZ153" s="561"/>
      <c r="BA153" s="561"/>
      <c r="BB153" s="561"/>
      <c r="BC153" s="561"/>
      <c r="BD153" s="561"/>
      <c r="BE153" s="561"/>
      <c r="BF153" s="561"/>
      <c r="BG153" s="561"/>
      <c r="BH153" s="561"/>
      <c r="BI153" s="536"/>
      <c r="BL153" s="536"/>
      <c r="BS153" s="562"/>
      <c r="BT153" s="536"/>
      <c r="CA153" s="562"/>
      <c r="CB153" s="562"/>
      <c r="CC153" s="536"/>
      <c r="CR153" s="560"/>
    </row>
    <row r="154" spans="1:96" s="559" customFormat="1" x14ac:dyDescent="0.2">
      <c r="C154" s="560"/>
      <c r="F154" s="562"/>
      <c r="AJ154" s="561"/>
      <c r="AK154" s="561"/>
      <c r="AL154" s="561"/>
      <c r="AM154" s="561"/>
      <c r="AN154" s="561"/>
      <c r="AO154" s="561"/>
      <c r="AP154" s="561"/>
      <c r="AQ154" s="561"/>
      <c r="AR154" s="561"/>
      <c r="AS154" s="561"/>
      <c r="AT154" s="561"/>
      <c r="AU154" s="561"/>
      <c r="AV154" s="561"/>
      <c r="AW154" s="561"/>
      <c r="AX154" s="561"/>
      <c r="AY154" s="561"/>
      <c r="AZ154" s="561"/>
      <c r="BA154" s="561"/>
      <c r="BB154" s="561"/>
      <c r="BC154" s="561"/>
      <c r="BD154" s="561"/>
      <c r="BE154" s="561"/>
      <c r="BF154" s="561"/>
      <c r="BG154" s="561"/>
      <c r="BH154" s="561"/>
      <c r="BI154" s="536"/>
      <c r="BL154" s="536"/>
      <c r="BS154" s="562"/>
      <c r="BT154" s="536"/>
      <c r="CA154" s="562"/>
      <c r="CB154" s="562"/>
      <c r="CC154" s="536"/>
      <c r="CR154" s="560"/>
    </row>
    <row r="155" spans="1:96" s="559" customFormat="1" x14ac:dyDescent="0.2">
      <c r="C155" s="560"/>
      <c r="F155" s="562"/>
      <c r="AJ155" s="561"/>
      <c r="AK155" s="561"/>
      <c r="AL155" s="561"/>
      <c r="AM155" s="561"/>
      <c r="AN155" s="561"/>
      <c r="AO155" s="561"/>
      <c r="AP155" s="561"/>
      <c r="AQ155" s="561"/>
      <c r="AR155" s="561"/>
      <c r="AS155" s="561"/>
      <c r="AT155" s="561"/>
      <c r="AU155" s="561"/>
      <c r="AV155" s="561"/>
      <c r="AW155" s="561"/>
      <c r="AX155" s="561"/>
      <c r="AY155" s="561"/>
      <c r="AZ155" s="561"/>
      <c r="BA155" s="561"/>
      <c r="BB155" s="561"/>
      <c r="BC155" s="561"/>
      <c r="BD155" s="561"/>
      <c r="BE155" s="561"/>
      <c r="BF155" s="561"/>
      <c r="BG155" s="561"/>
      <c r="BH155" s="561"/>
      <c r="BI155" s="536"/>
      <c r="BL155" s="536"/>
      <c r="BS155" s="562"/>
      <c r="BT155" s="536"/>
      <c r="CA155" s="562"/>
      <c r="CB155" s="562"/>
      <c r="CC155" s="536"/>
      <c r="CR155" s="560"/>
    </row>
    <row r="156" spans="1:96" s="559" customFormat="1" outlineLevel="1" x14ac:dyDescent="0.2">
      <c r="C156" s="653" t="s">
        <v>878</v>
      </c>
      <c r="F156" s="562"/>
      <c r="O156" s="559">
        <v>3</v>
      </c>
      <c r="P156" s="559">
        <v>7</v>
      </c>
      <c r="Q156" s="559">
        <v>4</v>
      </c>
      <c r="R156" s="559">
        <v>1</v>
      </c>
      <c r="S156" s="559">
        <v>3</v>
      </c>
      <c r="T156" s="559">
        <v>7</v>
      </c>
      <c r="U156" s="559">
        <v>8</v>
      </c>
      <c r="V156" s="559">
        <v>5</v>
      </c>
      <c r="W156" s="559">
        <v>3</v>
      </c>
      <c r="X156" s="559">
        <v>5</v>
      </c>
      <c r="Y156" s="559">
        <v>4</v>
      </c>
      <c r="Z156" s="559">
        <v>4</v>
      </c>
      <c r="AA156" s="559">
        <v>4</v>
      </c>
      <c r="AB156" s="559">
        <v>6</v>
      </c>
      <c r="AC156" s="559">
        <v>10</v>
      </c>
      <c r="AD156" s="559">
        <v>12</v>
      </c>
      <c r="AE156" s="559">
        <v>6</v>
      </c>
      <c r="AF156" s="559">
        <v>9</v>
      </c>
      <c r="AG156" s="559">
        <v>7</v>
      </c>
      <c r="AH156" s="559">
        <v>7</v>
      </c>
      <c r="AI156" s="559">
        <v>9</v>
      </c>
      <c r="AJ156" s="561">
        <v>9</v>
      </c>
      <c r="AK156" s="561">
        <v>8</v>
      </c>
      <c r="AL156" s="561">
        <v>8</v>
      </c>
      <c r="AM156" s="561">
        <v>26</v>
      </c>
      <c r="AN156" s="561">
        <v>12</v>
      </c>
      <c r="AO156" s="561">
        <v>22</v>
      </c>
      <c r="AP156" s="561">
        <v>16</v>
      </c>
      <c r="AQ156" s="561">
        <v>11</v>
      </c>
      <c r="AR156" s="561">
        <v>15</v>
      </c>
      <c r="AS156" s="561">
        <v>14</v>
      </c>
      <c r="AT156" s="561">
        <v>23</v>
      </c>
      <c r="AU156" s="561">
        <v>19</v>
      </c>
      <c r="AV156" s="561">
        <v>22</v>
      </c>
      <c r="AW156" s="561">
        <v>24</v>
      </c>
      <c r="AX156" s="561">
        <v>19</v>
      </c>
      <c r="AY156" s="561">
        <v>27</v>
      </c>
      <c r="AZ156" s="561">
        <v>17</v>
      </c>
      <c r="BA156" s="561">
        <v>25</v>
      </c>
      <c r="BB156" s="561">
        <v>18</v>
      </c>
      <c r="BC156" s="561">
        <v>18</v>
      </c>
      <c r="BD156" s="561">
        <v>20</v>
      </c>
      <c r="BE156" s="561">
        <v>21</v>
      </c>
      <c r="BF156" s="561">
        <v>22</v>
      </c>
      <c r="BG156" s="561">
        <v>16</v>
      </c>
      <c r="BH156" s="561">
        <v>18</v>
      </c>
      <c r="BI156" s="536"/>
      <c r="BL156" s="536"/>
      <c r="BS156" s="562"/>
      <c r="BT156" s="536"/>
      <c r="CA156" s="562"/>
      <c r="CB156" s="562"/>
      <c r="CC156" s="536"/>
      <c r="CR156" s="560"/>
    </row>
    <row r="157" spans="1:96" s="559" customFormat="1" outlineLevel="1" x14ac:dyDescent="0.2">
      <c r="C157" s="653" t="s">
        <v>879</v>
      </c>
      <c r="F157" s="562"/>
      <c r="O157" s="559">
        <v>10</v>
      </c>
      <c r="P157" s="559">
        <v>12</v>
      </c>
      <c r="Q157" s="559">
        <v>7</v>
      </c>
      <c r="R157" s="559">
        <v>19</v>
      </c>
      <c r="S157" s="559">
        <v>13</v>
      </c>
      <c r="T157" s="559">
        <v>12</v>
      </c>
      <c r="U157" s="559">
        <v>9</v>
      </c>
      <c r="V157" s="559">
        <v>10</v>
      </c>
      <c r="W157" s="559">
        <v>7</v>
      </c>
      <c r="X157" s="559">
        <v>7</v>
      </c>
      <c r="Y157" s="559">
        <v>9</v>
      </c>
      <c r="Z157" s="559">
        <v>12</v>
      </c>
      <c r="AA157" s="559">
        <v>12</v>
      </c>
      <c r="AB157" s="559">
        <v>7</v>
      </c>
      <c r="AC157" s="559">
        <v>10</v>
      </c>
      <c r="AD157" s="559">
        <v>13</v>
      </c>
      <c r="AE157" s="559">
        <v>17</v>
      </c>
      <c r="AF157" s="559">
        <v>14</v>
      </c>
      <c r="AG157" s="559">
        <v>10</v>
      </c>
      <c r="AH157" s="559">
        <v>15</v>
      </c>
      <c r="AI157" s="559">
        <v>16</v>
      </c>
      <c r="AJ157" s="561">
        <v>16</v>
      </c>
      <c r="AK157" s="561">
        <v>4</v>
      </c>
      <c r="AL157" s="561">
        <v>12</v>
      </c>
      <c r="AM157" s="561">
        <v>7</v>
      </c>
      <c r="AN157" s="561">
        <v>8</v>
      </c>
      <c r="AO157" s="561">
        <v>9</v>
      </c>
      <c r="AP157" s="561">
        <v>23</v>
      </c>
      <c r="AQ157" s="561">
        <v>15</v>
      </c>
      <c r="AR157" s="561">
        <v>7</v>
      </c>
      <c r="AS157" s="561">
        <v>9</v>
      </c>
      <c r="AT157" s="561">
        <v>22</v>
      </c>
      <c r="AU157" s="561">
        <v>14</v>
      </c>
      <c r="AV157" s="561">
        <v>13</v>
      </c>
      <c r="AW157" s="561">
        <v>11</v>
      </c>
      <c r="AX157" s="561">
        <v>13</v>
      </c>
      <c r="AY157" s="561">
        <v>12</v>
      </c>
      <c r="AZ157" s="561">
        <v>22</v>
      </c>
      <c r="BA157" s="561">
        <v>24</v>
      </c>
      <c r="BB157" s="561">
        <v>27</v>
      </c>
      <c r="BC157" s="561">
        <v>21</v>
      </c>
      <c r="BD157" s="561">
        <v>30</v>
      </c>
      <c r="BE157" s="561">
        <v>24</v>
      </c>
      <c r="BF157" s="561">
        <v>25</v>
      </c>
      <c r="BG157" s="561">
        <v>30</v>
      </c>
      <c r="BH157" s="561">
        <v>21</v>
      </c>
      <c r="BI157" s="536"/>
      <c r="BL157" s="536"/>
      <c r="BS157" s="562"/>
      <c r="BT157" s="536"/>
      <c r="CA157" s="562"/>
      <c r="CB157" s="562"/>
      <c r="CC157" s="536"/>
      <c r="CR157" s="560"/>
    </row>
    <row r="158" spans="1:96" s="559" customFormat="1" outlineLevel="1" x14ac:dyDescent="0.2">
      <c r="C158" s="653" t="s">
        <v>39</v>
      </c>
      <c r="F158" s="562"/>
      <c r="O158" s="559">
        <v>74</v>
      </c>
      <c r="P158" s="559">
        <v>77</v>
      </c>
      <c r="Q158" s="559">
        <v>56</v>
      </c>
      <c r="R158" s="559">
        <v>71</v>
      </c>
      <c r="S158" s="559">
        <v>67</v>
      </c>
      <c r="T158" s="559">
        <v>70</v>
      </c>
      <c r="U158" s="559">
        <v>67</v>
      </c>
      <c r="V158" s="559">
        <v>64</v>
      </c>
      <c r="W158" s="559">
        <v>45</v>
      </c>
      <c r="X158" s="559">
        <v>57</v>
      </c>
      <c r="Y158" s="559">
        <v>76</v>
      </c>
      <c r="Z158" s="559">
        <v>69</v>
      </c>
      <c r="AA158" s="559">
        <v>73</v>
      </c>
      <c r="AB158" s="559">
        <v>59</v>
      </c>
      <c r="AC158" s="559">
        <v>60</v>
      </c>
      <c r="AD158" s="559">
        <v>90</v>
      </c>
      <c r="AE158" s="559">
        <v>61</v>
      </c>
      <c r="AF158" s="559">
        <v>97</v>
      </c>
      <c r="AG158" s="559">
        <v>105</v>
      </c>
      <c r="AH158" s="559">
        <v>80</v>
      </c>
      <c r="AI158" s="559">
        <v>100</v>
      </c>
      <c r="AJ158" s="561">
        <v>99</v>
      </c>
      <c r="AK158" s="561">
        <v>80</v>
      </c>
      <c r="AL158" s="561">
        <v>91</v>
      </c>
      <c r="AM158" s="561">
        <v>100</v>
      </c>
      <c r="AN158" s="561">
        <v>95</v>
      </c>
      <c r="AO158" s="561">
        <v>121</v>
      </c>
      <c r="AP158" s="561">
        <v>110</v>
      </c>
      <c r="AQ158" s="561">
        <v>93</v>
      </c>
      <c r="AR158" s="561">
        <v>116</v>
      </c>
      <c r="AS158" s="561">
        <v>103</v>
      </c>
      <c r="AT158" s="561">
        <v>118</v>
      </c>
      <c r="AU158" s="561">
        <v>101</v>
      </c>
      <c r="AV158" s="561">
        <v>85</v>
      </c>
      <c r="AW158" s="561">
        <v>106</v>
      </c>
      <c r="AX158" s="561">
        <v>98</v>
      </c>
      <c r="AY158" s="561">
        <v>117</v>
      </c>
      <c r="AZ158" s="561">
        <v>112</v>
      </c>
      <c r="BA158" s="561">
        <v>102</v>
      </c>
      <c r="BB158" s="561">
        <v>95</v>
      </c>
      <c r="BC158" s="561">
        <v>82</v>
      </c>
      <c r="BD158" s="561">
        <v>96</v>
      </c>
      <c r="BE158" s="561">
        <v>90</v>
      </c>
      <c r="BF158" s="561">
        <v>113</v>
      </c>
      <c r="BG158" s="561">
        <v>113</v>
      </c>
      <c r="BH158" s="561">
        <v>103</v>
      </c>
      <c r="BI158" s="536"/>
      <c r="BL158" s="536"/>
      <c r="BS158" s="562"/>
      <c r="BT158" s="536"/>
      <c r="CA158" s="562"/>
      <c r="CB158" s="562"/>
      <c r="CC158" s="536"/>
      <c r="CR158" s="560"/>
    </row>
    <row r="159" spans="1:96" s="559" customFormat="1" outlineLevel="1" x14ac:dyDescent="0.2">
      <c r="C159" s="653" t="s">
        <v>880</v>
      </c>
      <c r="F159" s="562"/>
      <c r="O159" s="559">
        <v>58</v>
      </c>
      <c r="P159" s="559">
        <v>64</v>
      </c>
      <c r="Q159" s="559">
        <v>46</v>
      </c>
      <c r="R159" s="559">
        <v>48</v>
      </c>
      <c r="S159" s="559">
        <v>42</v>
      </c>
      <c r="T159" s="559">
        <v>50</v>
      </c>
      <c r="U159" s="559">
        <v>33</v>
      </c>
      <c r="V159" s="559">
        <v>45</v>
      </c>
      <c r="W159" s="559">
        <v>38</v>
      </c>
      <c r="X159" s="559">
        <v>43</v>
      </c>
      <c r="Y159" s="559">
        <v>43</v>
      </c>
      <c r="Z159" s="559">
        <v>58</v>
      </c>
      <c r="AA159" s="559">
        <v>59</v>
      </c>
      <c r="AB159" s="559">
        <v>56</v>
      </c>
      <c r="AC159" s="559">
        <v>66</v>
      </c>
      <c r="AD159" s="559">
        <v>67</v>
      </c>
      <c r="AE159" s="559">
        <v>48</v>
      </c>
      <c r="AF159" s="559">
        <v>62</v>
      </c>
      <c r="AG159" s="559">
        <v>61</v>
      </c>
      <c r="AH159" s="559">
        <v>54</v>
      </c>
      <c r="AI159" s="559">
        <v>68</v>
      </c>
      <c r="AJ159" s="561">
        <v>71</v>
      </c>
      <c r="AK159" s="561">
        <v>91</v>
      </c>
      <c r="AL159" s="561">
        <v>75</v>
      </c>
      <c r="AM159" s="561">
        <v>72</v>
      </c>
      <c r="AN159" s="561">
        <v>74</v>
      </c>
      <c r="AO159" s="561">
        <v>101</v>
      </c>
      <c r="AP159" s="561">
        <v>96</v>
      </c>
      <c r="AQ159" s="561">
        <v>98</v>
      </c>
      <c r="AR159" s="561">
        <v>94</v>
      </c>
      <c r="AS159" s="561">
        <v>89</v>
      </c>
      <c r="AT159" s="561">
        <v>86</v>
      </c>
      <c r="AU159" s="561">
        <v>105</v>
      </c>
      <c r="AV159" s="561">
        <v>94</v>
      </c>
      <c r="AW159" s="561">
        <v>103</v>
      </c>
      <c r="AX159" s="561">
        <v>108</v>
      </c>
      <c r="AY159" s="561">
        <v>104</v>
      </c>
      <c r="AZ159" s="561">
        <v>109</v>
      </c>
      <c r="BA159" s="561">
        <v>115</v>
      </c>
      <c r="BB159" s="561">
        <v>115</v>
      </c>
      <c r="BC159" s="561">
        <v>103</v>
      </c>
      <c r="BD159" s="561">
        <v>109</v>
      </c>
      <c r="BE159" s="561">
        <v>107</v>
      </c>
      <c r="BF159" s="561">
        <v>122</v>
      </c>
      <c r="BG159" s="561">
        <v>103</v>
      </c>
      <c r="BH159" s="561">
        <v>100</v>
      </c>
      <c r="BI159" s="536"/>
      <c r="BL159" s="536"/>
      <c r="BS159" s="562"/>
      <c r="BT159" s="536"/>
      <c r="CA159" s="562"/>
      <c r="CB159" s="562"/>
      <c r="CC159" s="536"/>
      <c r="CR159" s="560"/>
    </row>
    <row r="160" spans="1:96" s="559" customFormat="1" outlineLevel="1" x14ac:dyDescent="0.2">
      <c r="C160" s="653" t="s">
        <v>881</v>
      </c>
      <c r="F160" s="562"/>
      <c r="AE160" s="561">
        <v>120</v>
      </c>
      <c r="AF160" s="561">
        <v>141</v>
      </c>
      <c r="AG160" s="561">
        <v>146</v>
      </c>
      <c r="AH160" s="561">
        <v>166</v>
      </c>
      <c r="AI160" s="561">
        <v>171</v>
      </c>
      <c r="AJ160" s="561">
        <v>174</v>
      </c>
      <c r="AK160" s="561">
        <v>128</v>
      </c>
      <c r="AL160" s="561">
        <v>149</v>
      </c>
      <c r="AM160" s="561">
        <v>154</v>
      </c>
      <c r="AN160" s="561">
        <v>144</v>
      </c>
      <c r="AO160" s="561">
        <v>140</v>
      </c>
      <c r="AP160" s="561">
        <v>114</v>
      </c>
      <c r="AQ160" s="561">
        <v>102</v>
      </c>
      <c r="AR160" s="561">
        <v>124</v>
      </c>
      <c r="AS160" s="561">
        <v>89</v>
      </c>
      <c r="AT160" s="561">
        <v>87</v>
      </c>
      <c r="AU160" s="561">
        <v>78</v>
      </c>
      <c r="AV160" s="561">
        <v>57</v>
      </c>
      <c r="AW160" s="561">
        <v>63</v>
      </c>
      <c r="AX160" s="561">
        <v>33</v>
      </c>
      <c r="AY160" s="561">
        <v>34</v>
      </c>
      <c r="AZ160" s="561">
        <v>28</v>
      </c>
      <c r="BA160" s="561">
        <v>32</v>
      </c>
      <c r="BB160" s="561">
        <v>14</v>
      </c>
      <c r="BC160" s="561">
        <v>21</v>
      </c>
      <c r="BD160" s="561">
        <v>26</v>
      </c>
      <c r="BE160" s="561">
        <v>23</v>
      </c>
      <c r="BF160" s="561">
        <v>19</v>
      </c>
      <c r="BG160" s="561">
        <v>14</v>
      </c>
      <c r="BH160" s="561">
        <v>18</v>
      </c>
      <c r="BI160" s="536"/>
      <c r="BL160" s="536"/>
      <c r="BS160" s="562"/>
      <c r="BT160" s="536"/>
      <c r="CA160" s="562"/>
      <c r="CB160" s="562"/>
      <c r="CC160" s="536"/>
      <c r="CR160" s="560"/>
    </row>
    <row r="161" spans="3:96" s="559" customFormat="1" outlineLevel="1" x14ac:dyDescent="0.2">
      <c r="C161" s="654" t="s">
        <v>882</v>
      </c>
      <c r="F161" s="562"/>
      <c r="AJ161" s="561"/>
      <c r="AK161" s="561"/>
      <c r="AL161" s="561"/>
      <c r="AM161" s="561"/>
      <c r="AN161" s="561"/>
      <c r="AO161" s="561"/>
      <c r="AP161" s="561"/>
      <c r="AQ161" s="561"/>
      <c r="AR161" s="561"/>
      <c r="AS161" s="561"/>
      <c r="AT161" s="561"/>
      <c r="AU161" s="561"/>
      <c r="AV161" s="561"/>
      <c r="AW161" s="561"/>
      <c r="AX161" s="561"/>
      <c r="AY161" s="561"/>
      <c r="AZ161" s="561"/>
      <c r="BA161" s="561"/>
      <c r="BB161" s="561"/>
      <c r="BC161" s="561"/>
      <c r="BD161" s="561"/>
      <c r="BE161" s="561"/>
      <c r="BF161" s="561"/>
      <c r="BG161" s="561"/>
      <c r="BH161" s="561"/>
      <c r="BI161" s="536"/>
      <c r="BL161" s="536"/>
      <c r="BS161" s="562"/>
      <c r="BT161" s="536"/>
      <c r="CA161" s="562"/>
      <c r="CB161" s="562"/>
      <c r="CC161" s="536"/>
      <c r="CR161" s="560"/>
    </row>
    <row r="162" spans="3:96" s="559" customFormat="1" outlineLevel="1" x14ac:dyDescent="0.2">
      <c r="C162" s="560"/>
      <c r="AJ162" s="561"/>
      <c r="AK162" s="561"/>
      <c r="AL162" s="561"/>
      <c r="AM162" s="561"/>
      <c r="AN162" s="561"/>
      <c r="AO162" s="561"/>
      <c r="AP162" s="561"/>
      <c r="AQ162" s="561"/>
      <c r="AR162" s="561"/>
      <c r="AS162" s="561"/>
      <c r="AT162" s="561"/>
      <c r="AU162" s="561"/>
      <c r="AV162" s="561"/>
      <c r="AW162" s="561"/>
      <c r="AX162" s="561"/>
      <c r="AY162" s="561"/>
      <c r="AZ162" s="561"/>
      <c r="BA162" s="561"/>
      <c r="BB162" s="561"/>
      <c r="BC162" s="561"/>
      <c r="BD162" s="561"/>
      <c r="BE162" s="561"/>
      <c r="BF162" s="561"/>
      <c r="BG162" s="561"/>
      <c r="BH162" s="561"/>
      <c r="BI162" s="536"/>
      <c r="BL162" s="536"/>
      <c r="BS162" s="562"/>
      <c r="BT162" s="536"/>
      <c r="CA162" s="562"/>
      <c r="CB162" s="562"/>
      <c r="CC162" s="536"/>
      <c r="CR162" s="560"/>
    </row>
    <row r="163" spans="3:96" s="559" customFormat="1" outlineLevel="1" x14ac:dyDescent="0.2">
      <c r="C163" s="560" t="s">
        <v>883</v>
      </c>
      <c r="AJ163" s="561"/>
      <c r="AK163" s="561"/>
      <c r="AL163" s="561"/>
      <c r="AM163" s="561"/>
      <c r="AN163" s="561"/>
      <c r="AO163" s="561"/>
      <c r="AP163" s="561"/>
      <c r="AQ163" s="561"/>
      <c r="AR163" s="561"/>
      <c r="AS163" s="561"/>
      <c r="AT163" s="561"/>
      <c r="AU163" s="561"/>
      <c r="AV163" s="561"/>
      <c r="AW163" s="561"/>
      <c r="AX163" s="561"/>
      <c r="AY163" s="561"/>
      <c r="AZ163" s="561"/>
      <c r="BA163" s="561"/>
      <c r="BB163" s="561"/>
      <c r="BC163" s="561"/>
      <c r="BD163" s="561"/>
      <c r="BE163" s="561"/>
      <c r="BF163" s="561"/>
      <c r="BG163" s="561"/>
      <c r="BH163" s="561"/>
      <c r="BI163" s="536"/>
      <c r="BL163" s="536"/>
      <c r="BS163" s="562"/>
      <c r="BT163" s="536"/>
      <c r="CA163" s="562"/>
      <c r="CB163" s="562"/>
      <c r="CC163" s="536"/>
      <c r="CR163" s="560"/>
    </row>
    <row r="164" spans="3:96" s="559" customFormat="1" outlineLevel="1" x14ac:dyDescent="0.2">
      <c r="C164" s="560" t="s">
        <v>884</v>
      </c>
      <c r="P164" s="559">
        <v>1</v>
      </c>
      <c r="Q164" s="559">
        <v>0</v>
      </c>
      <c r="R164" s="559">
        <v>1</v>
      </c>
      <c r="S164" s="559">
        <v>0</v>
      </c>
      <c r="T164" s="559">
        <v>1</v>
      </c>
      <c r="U164" s="559">
        <v>0</v>
      </c>
      <c r="V164" s="559">
        <v>1</v>
      </c>
      <c r="AJ164" s="561"/>
      <c r="AK164" s="561"/>
      <c r="AL164" s="561"/>
      <c r="AM164" s="561"/>
      <c r="AN164" s="561"/>
      <c r="AO164" s="561"/>
      <c r="AP164" s="561"/>
      <c r="AQ164" s="561"/>
      <c r="AR164" s="561"/>
      <c r="AS164" s="561"/>
      <c r="AT164" s="561"/>
      <c r="AU164" s="561"/>
      <c r="AV164" s="561"/>
      <c r="AW164" s="561"/>
      <c r="AX164" s="561"/>
      <c r="AY164" s="561"/>
      <c r="AZ164" s="561"/>
      <c r="BA164" s="561"/>
      <c r="BB164" s="561"/>
      <c r="BC164" s="561"/>
      <c r="BD164" s="561"/>
      <c r="BE164" s="561"/>
      <c r="BF164" s="561"/>
      <c r="BG164" s="561"/>
      <c r="BH164" s="561"/>
      <c r="BI164" s="536"/>
      <c r="BL164" s="536"/>
      <c r="BS164" s="562"/>
      <c r="BT164" s="536"/>
      <c r="CA164" s="562"/>
      <c r="CB164" s="562"/>
      <c r="CC164" s="536"/>
      <c r="CK164" s="559">
        <v>1</v>
      </c>
      <c r="CL164" s="559">
        <v>0</v>
      </c>
      <c r="CM164" s="559">
        <v>0</v>
      </c>
      <c r="CN164" s="559">
        <v>0</v>
      </c>
      <c r="CO164" s="559">
        <v>0</v>
      </c>
      <c r="CP164" s="559">
        <v>0</v>
      </c>
      <c r="CQ164" s="559">
        <v>0</v>
      </c>
      <c r="CR164" s="560"/>
    </row>
    <row r="165" spans="3:96" s="559" customFormat="1" outlineLevel="1" x14ac:dyDescent="0.2">
      <c r="C165" s="560" t="s">
        <v>885</v>
      </c>
      <c r="W165" s="559">
        <v>1</v>
      </c>
      <c r="X165" s="559">
        <v>1</v>
      </c>
      <c r="Y165" s="559">
        <v>0</v>
      </c>
      <c r="Z165" s="559">
        <v>0</v>
      </c>
      <c r="AA165" s="559">
        <v>0</v>
      </c>
      <c r="AB165" s="559">
        <v>0</v>
      </c>
      <c r="AC165" s="559">
        <v>4</v>
      </c>
      <c r="AD165" s="559">
        <v>7</v>
      </c>
      <c r="AJ165" s="561"/>
      <c r="AK165" s="561"/>
      <c r="AL165" s="561"/>
      <c r="AM165" s="561"/>
      <c r="AN165" s="561"/>
      <c r="AO165" s="561"/>
      <c r="AP165" s="561"/>
      <c r="AQ165" s="561"/>
      <c r="AR165" s="561"/>
      <c r="AS165" s="561"/>
      <c r="AT165" s="561"/>
      <c r="AU165" s="561"/>
      <c r="AV165" s="561"/>
      <c r="AW165" s="561"/>
      <c r="AX165" s="561"/>
      <c r="AY165" s="561"/>
      <c r="AZ165" s="561"/>
      <c r="BA165" s="561"/>
      <c r="BB165" s="561"/>
      <c r="BC165" s="561"/>
      <c r="BD165" s="561"/>
      <c r="BE165" s="561"/>
      <c r="BF165" s="561"/>
      <c r="BG165" s="561"/>
      <c r="BH165" s="561"/>
      <c r="BI165" s="536"/>
      <c r="BL165" s="536"/>
      <c r="BS165" s="562"/>
      <c r="BT165" s="536"/>
      <c r="CA165" s="562"/>
      <c r="CB165" s="562"/>
      <c r="CC165" s="536"/>
      <c r="CR165" s="560"/>
    </row>
    <row r="166" spans="3:96" s="559" customFormat="1" outlineLevel="1" x14ac:dyDescent="0.2">
      <c r="C166" s="560" t="s">
        <v>886</v>
      </c>
      <c r="AE166" s="559">
        <v>2</v>
      </c>
      <c r="AJ166" s="561"/>
      <c r="AK166" s="561"/>
      <c r="AL166" s="561"/>
      <c r="AM166" s="561"/>
      <c r="AN166" s="561"/>
      <c r="AO166" s="561"/>
      <c r="AP166" s="561"/>
      <c r="AQ166" s="561"/>
      <c r="AR166" s="561"/>
      <c r="AS166" s="561"/>
      <c r="AT166" s="561"/>
      <c r="AU166" s="561"/>
      <c r="AV166" s="561"/>
      <c r="AW166" s="561"/>
      <c r="AX166" s="561"/>
      <c r="AY166" s="561"/>
      <c r="AZ166" s="561"/>
      <c r="BA166" s="561"/>
      <c r="BB166" s="561"/>
      <c r="BC166" s="561"/>
      <c r="BD166" s="561"/>
      <c r="BE166" s="561"/>
      <c r="BF166" s="561"/>
      <c r="BG166" s="561"/>
      <c r="BH166" s="561"/>
      <c r="BI166" s="536"/>
      <c r="BL166" s="536"/>
      <c r="BS166" s="562"/>
      <c r="BT166" s="536"/>
      <c r="CA166" s="562"/>
      <c r="CB166" s="562"/>
      <c r="CC166" s="536"/>
      <c r="CR166" s="560"/>
    </row>
    <row r="167" spans="3:96" s="559" customFormat="1" outlineLevel="1" x14ac:dyDescent="0.2">
      <c r="C167" s="560" t="s">
        <v>887</v>
      </c>
      <c r="AE167" s="559">
        <v>1</v>
      </c>
      <c r="AJ167" s="561"/>
      <c r="AK167" s="561"/>
      <c r="AL167" s="561"/>
      <c r="AM167" s="561"/>
      <c r="AN167" s="561"/>
      <c r="AO167" s="561"/>
      <c r="AP167" s="561"/>
      <c r="AQ167" s="561"/>
      <c r="AR167" s="561"/>
      <c r="AS167" s="561"/>
      <c r="AT167" s="561"/>
      <c r="AU167" s="561"/>
      <c r="AV167" s="561"/>
      <c r="AW167" s="561"/>
      <c r="AX167" s="561"/>
      <c r="AY167" s="561"/>
      <c r="AZ167" s="561"/>
      <c r="BA167" s="561"/>
      <c r="BB167" s="561"/>
      <c r="BC167" s="561"/>
      <c r="BD167" s="561"/>
      <c r="BE167" s="561"/>
      <c r="BF167" s="561"/>
      <c r="BG167" s="561"/>
      <c r="BH167" s="561"/>
      <c r="BI167" s="536"/>
      <c r="BL167" s="536"/>
      <c r="BS167" s="562"/>
      <c r="BT167" s="536"/>
      <c r="CA167" s="562"/>
      <c r="CB167" s="562"/>
      <c r="CC167" s="536"/>
      <c r="CR167" s="560"/>
    </row>
    <row r="168" spans="3:96" s="559" customFormat="1" outlineLevel="1" x14ac:dyDescent="0.2">
      <c r="C168" s="560"/>
      <c r="AJ168" s="561"/>
      <c r="AK168" s="561"/>
      <c r="AL168" s="561"/>
      <c r="AM168" s="561"/>
      <c r="AN168" s="561"/>
      <c r="AO168" s="561"/>
      <c r="AP168" s="561"/>
      <c r="AQ168" s="561"/>
      <c r="AR168" s="561"/>
      <c r="AS168" s="561"/>
      <c r="AT168" s="561"/>
      <c r="AU168" s="561"/>
      <c r="AV168" s="561"/>
      <c r="AW168" s="561"/>
      <c r="AX168" s="561"/>
      <c r="AY168" s="561"/>
      <c r="AZ168" s="561"/>
      <c r="BA168" s="561"/>
      <c r="BB168" s="561"/>
      <c r="BC168" s="561"/>
      <c r="BD168" s="561"/>
      <c r="BE168" s="561"/>
      <c r="BF168" s="561"/>
      <c r="BG168" s="561"/>
      <c r="BH168" s="561"/>
      <c r="BI168" s="536"/>
      <c r="BL168" s="536"/>
      <c r="BS168" s="562"/>
      <c r="BT168" s="536"/>
      <c r="CA168" s="562"/>
      <c r="CB168" s="562"/>
      <c r="CC168" s="536"/>
      <c r="CR168" s="560"/>
    </row>
    <row r="169" spans="3:96" s="559" customFormat="1" outlineLevel="1" x14ac:dyDescent="0.2">
      <c r="C169" s="560"/>
      <c r="AJ169" s="561"/>
      <c r="AK169" s="561"/>
      <c r="AL169" s="561"/>
      <c r="AM169" s="561"/>
      <c r="AN169" s="561"/>
      <c r="AO169" s="561"/>
      <c r="AP169" s="561"/>
      <c r="AQ169" s="561"/>
      <c r="AR169" s="561"/>
      <c r="AS169" s="561"/>
      <c r="AT169" s="561"/>
      <c r="AU169" s="561"/>
      <c r="AV169" s="561"/>
      <c r="AW169" s="561"/>
      <c r="AX169" s="561"/>
      <c r="AY169" s="561"/>
      <c r="AZ169" s="561"/>
      <c r="BA169" s="561"/>
      <c r="BB169" s="561"/>
      <c r="BC169" s="561"/>
      <c r="BD169" s="561"/>
      <c r="BE169" s="561"/>
      <c r="BF169" s="561"/>
      <c r="BG169" s="561"/>
      <c r="BH169" s="561"/>
      <c r="BI169" s="536"/>
      <c r="BL169" s="536"/>
      <c r="BS169" s="562"/>
      <c r="BT169" s="536"/>
      <c r="CA169" s="562"/>
      <c r="CB169" s="562"/>
      <c r="CC169" s="536"/>
      <c r="CR169" s="560"/>
    </row>
    <row r="170" spans="3:96" s="559" customFormat="1" outlineLevel="1" x14ac:dyDescent="0.2">
      <c r="C170" s="560" t="s">
        <v>888</v>
      </c>
      <c r="P170" s="559">
        <v>285</v>
      </c>
      <c r="Q170" s="559">
        <v>266</v>
      </c>
      <c r="R170" s="559">
        <v>281</v>
      </c>
      <c r="S170" s="559">
        <v>302</v>
      </c>
      <c r="T170" s="559">
        <v>292</v>
      </c>
      <c r="U170" s="559">
        <v>255</v>
      </c>
      <c r="V170" s="559">
        <v>272</v>
      </c>
      <c r="W170" s="559">
        <v>205</v>
      </c>
      <c r="X170" s="559">
        <v>286</v>
      </c>
      <c r="Y170" s="559">
        <v>270</v>
      </c>
      <c r="Z170" s="559">
        <v>284</v>
      </c>
      <c r="AA170" s="559">
        <v>284</v>
      </c>
      <c r="AB170" s="559">
        <v>266</v>
      </c>
      <c r="AC170" s="559">
        <v>278</v>
      </c>
      <c r="AD170" s="559">
        <v>323</v>
      </c>
      <c r="AE170" s="559">
        <v>255</v>
      </c>
      <c r="AF170" s="559">
        <v>323</v>
      </c>
      <c r="AG170" s="559">
        <v>329</v>
      </c>
      <c r="AH170" s="559">
        <v>322</v>
      </c>
      <c r="AI170" s="559">
        <v>364</v>
      </c>
      <c r="AJ170" s="561">
        <v>369</v>
      </c>
      <c r="AK170" s="561">
        <v>311</v>
      </c>
      <c r="AL170" s="561">
        <v>335</v>
      </c>
      <c r="AM170" s="561">
        <v>359</v>
      </c>
      <c r="AN170" s="561">
        <v>333</v>
      </c>
      <c r="AO170" s="561">
        <v>393</v>
      </c>
      <c r="AP170" s="561">
        <v>359</v>
      </c>
      <c r="AQ170" s="561">
        <v>319</v>
      </c>
      <c r="AR170" s="561">
        <v>356</v>
      </c>
      <c r="AS170" s="561">
        <v>304</v>
      </c>
      <c r="AT170" s="561">
        <v>336</v>
      </c>
      <c r="AU170" s="561">
        <v>317</v>
      </c>
      <c r="AV170" s="561">
        <v>271</v>
      </c>
      <c r="AW170" s="561">
        <v>307</v>
      </c>
      <c r="AX170" s="561">
        <v>281</v>
      </c>
      <c r="AY170" s="561">
        <v>296</v>
      </c>
      <c r="AZ170" s="561">
        <v>301</v>
      </c>
      <c r="BA170" s="561">
        <v>301</v>
      </c>
      <c r="BB170" s="561">
        <v>273</v>
      </c>
      <c r="BC170" s="561">
        <v>265</v>
      </c>
      <c r="BD170" s="561">
        <v>294</v>
      </c>
      <c r="BE170" s="561">
        <v>275</v>
      </c>
      <c r="BF170" s="561">
        <v>310</v>
      </c>
      <c r="BG170" s="561">
        <v>285</v>
      </c>
      <c r="BH170" s="561">
        <v>267</v>
      </c>
      <c r="BI170" s="536"/>
      <c r="BL170" s="536"/>
      <c r="BS170" s="562"/>
      <c r="BT170" s="536"/>
      <c r="CA170" s="562"/>
      <c r="CB170" s="562"/>
      <c r="CC170" s="536"/>
      <c r="CK170" s="559">
        <v>72</v>
      </c>
      <c r="CL170" s="559">
        <v>61</v>
      </c>
      <c r="CM170" s="559">
        <v>101</v>
      </c>
      <c r="CN170" s="559">
        <v>100</v>
      </c>
      <c r="CO170" s="559">
        <v>110</v>
      </c>
      <c r="CP170" s="559">
        <v>98</v>
      </c>
      <c r="CQ170" s="559">
        <v>122</v>
      </c>
      <c r="CR170" s="560"/>
    </row>
    <row r="171" spans="3:96" s="559" customFormat="1" outlineLevel="1" x14ac:dyDescent="0.2">
      <c r="C171" s="560" t="s">
        <v>889</v>
      </c>
      <c r="P171" s="559">
        <v>330</v>
      </c>
      <c r="Q171" s="559">
        <v>346</v>
      </c>
      <c r="R171" s="559">
        <v>356</v>
      </c>
      <c r="S171" s="559">
        <v>378</v>
      </c>
      <c r="T171" s="559">
        <v>378</v>
      </c>
      <c r="U171" s="559">
        <v>346</v>
      </c>
      <c r="V171" s="559">
        <v>363</v>
      </c>
      <c r="W171" s="559">
        <v>273</v>
      </c>
      <c r="X171" s="559">
        <v>361</v>
      </c>
      <c r="Y171" s="559">
        <v>323</v>
      </c>
      <c r="Z171" s="559">
        <v>353</v>
      </c>
      <c r="AA171" s="559">
        <v>358</v>
      </c>
      <c r="AB171" s="559">
        <v>327</v>
      </c>
      <c r="AC171" s="559">
        <v>295</v>
      </c>
      <c r="AD171" s="559">
        <v>344</v>
      </c>
      <c r="AE171" s="559">
        <v>269</v>
      </c>
      <c r="AF171" s="559">
        <v>336</v>
      </c>
      <c r="AG171" s="559">
        <v>332</v>
      </c>
      <c r="AH171" s="559">
        <v>333</v>
      </c>
      <c r="AI171" s="559">
        <v>379</v>
      </c>
      <c r="AJ171" s="561">
        <v>379</v>
      </c>
      <c r="AK171" s="561">
        <v>319</v>
      </c>
      <c r="AL171" s="561">
        <v>345</v>
      </c>
      <c r="AM171" s="561">
        <v>367</v>
      </c>
      <c r="AN171" s="561">
        <v>341</v>
      </c>
      <c r="AO171" s="561">
        <v>403</v>
      </c>
      <c r="AP171" s="561">
        <v>363</v>
      </c>
      <c r="AQ171" s="561">
        <v>323</v>
      </c>
      <c r="AR171" s="561">
        <v>362</v>
      </c>
      <c r="AS171" s="561">
        <v>306</v>
      </c>
      <c r="AT171" s="561">
        <v>341</v>
      </c>
      <c r="AU171" s="561">
        <v>320</v>
      </c>
      <c r="AV171" s="561">
        <v>277</v>
      </c>
      <c r="AW171" s="561">
        <v>307</v>
      </c>
      <c r="AX171" s="561">
        <v>285</v>
      </c>
      <c r="AY171" s="561">
        <v>298</v>
      </c>
      <c r="AZ171" s="561">
        <v>305</v>
      </c>
      <c r="BA171" s="561">
        <v>306</v>
      </c>
      <c r="BB171" s="561">
        <v>284</v>
      </c>
      <c r="BC171" s="561">
        <v>268</v>
      </c>
      <c r="BD171" s="561">
        <v>300</v>
      </c>
      <c r="BE171" s="561">
        <v>284</v>
      </c>
      <c r="BF171" s="561">
        <v>314</v>
      </c>
      <c r="BG171" s="561">
        <v>292</v>
      </c>
      <c r="BH171" s="561">
        <v>269</v>
      </c>
      <c r="BI171" s="536"/>
      <c r="BL171" s="536"/>
      <c r="BS171" s="562"/>
      <c r="BT171" s="536"/>
      <c r="CA171" s="562"/>
      <c r="CB171" s="562"/>
      <c r="CC171" s="536"/>
      <c r="CK171" s="559">
        <v>104</v>
      </c>
      <c r="CL171" s="559">
        <v>103</v>
      </c>
      <c r="CM171" s="559">
        <v>143</v>
      </c>
      <c r="CN171" s="559">
        <v>141</v>
      </c>
      <c r="CO171" s="559">
        <v>155</v>
      </c>
      <c r="CP171" s="559">
        <v>139</v>
      </c>
      <c r="CQ171" s="559">
        <v>168</v>
      </c>
      <c r="CR171" s="560"/>
    </row>
    <row r="172" spans="3:96" s="559" customFormat="1" ht="15.75" thickBot="1" x14ac:dyDescent="0.25">
      <c r="C172" s="560" t="s">
        <v>890</v>
      </c>
      <c r="P172" s="655">
        <v>45</v>
      </c>
      <c r="Q172" s="655">
        <v>80</v>
      </c>
      <c r="R172" s="655">
        <v>75</v>
      </c>
      <c r="S172" s="655">
        <v>76</v>
      </c>
      <c r="T172" s="655">
        <v>86</v>
      </c>
      <c r="U172" s="655">
        <v>91</v>
      </c>
      <c r="V172" s="655">
        <v>91</v>
      </c>
      <c r="W172" s="655">
        <v>68</v>
      </c>
      <c r="X172" s="655">
        <v>75</v>
      </c>
      <c r="Y172" s="655">
        <v>53</v>
      </c>
      <c r="Z172" s="655">
        <v>69</v>
      </c>
      <c r="AA172" s="655">
        <v>74</v>
      </c>
      <c r="AB172" s="655">
        <v>61</v>
      </c>
      <c r="AC172" s="655">
        <v>17</v>
      </c>
      <c r="AD172" s="655">
        <v>21</v>
      </c>
      <c r="AE172" s="655">
        <v>14</v>
      </c>
      <c r="AF172" s="655">
        <v>13</v>
      </c>
      <c r="AG172" s="655">
        <v>3</v>
      </c>
      <c r="AH172" s="655">
        <v>11</v>
      </c>
      <c r="AI172" s="655">
        <v>15</v>
      </c>
      <c r="AJ172" s="656">
        <v>10</v>
      </c>
      <c r="AK172" s="656">
        <v>8</v>
      </c>
      <c r="AL172" s="656">
        <v>10</v>
      </c>
      <c r="AM172" s="656">
        <v>8</v>
      </c>
      <c r="AN172" s="656">
        <v>8</v>
      </c>
      <c r="AO172" s="656">
        <v>10</v>
      </c>
      <c r="AP172" s="656">
        <v>4</v>
      </c>
      <c r="AQ172" s="656">
        <v>4</v>
      </c>
      <c r="AR172" s="656">
        <v>6</v>
      </c>
      <c r="AS172" s="656">
        <v>2</v>
      </c>
      <c r="AT172" s="656">
        <v>5</v>
      </c>
      <c r="AU172" s="656">
        <v>3</v>
      </c>
      <c r="AV172" s="656">
        <v>6</v>
      </c>
      <c r="AW172" s="656">
        <v>0</v>
      </c>
      <c r="AX172" s="656">
        <v>4</v>
      </c>
      <c r="AY172" s="656">
        <v>2</v>
      </c>
      <c r="AZ172" s="656">
        <v>4</v>
      </c>
      <c r="BA172" s="656">
        <v>5</v>
      </c>
      <c r="BB172" s="656">
        <v>11</v>
      </c>
      <c r="BC172" s="656">
        <v>3</v>
      </c>
      <c r="BD172" s="656">
        <v>6</v>
      </c>
      <c r="BE172" s="656">
        <v>9</v>
      </c>
      <c r="BF172" s="656">
        <v>4</v>
      </c>
      <c r="BG172" s="656">
        <v>7</v>
      </c>
      <c r="BH172" s="656">
        <v>2</v>
      </c>
      <c r="BI172" s="536"/>
      <c r="BL172" s="536"/>
      <c r="BS172" s="562"/>
      <c r="BT172" s="536"/>
      <c r="CA172" s="562"/>
      <c r="CB172" s="562"/>
      <c r="CC172" s="536"/>
      <c r="CK172" s="655">
        <v>32</v>
      </c>
      <c r="CL172" s="655">
        <v>42</v>
      </c>
      <c r="CM172" s="655">
        <v>42</v>
      </c>
      <c r="CN172" s="655">
        <v>41</v>
      </c>
      <c r="CO172" s="655">
        <v>45</v>
      </c>
      <c r="CP172" s="655">
        <v>41</v>
      </c>
      <c r="CQ172" s="655">
        <v>46</v>
      </c>
      <c r="CR172" s="560"/>
    </row>
    <row r="173" spans="3:96" s="559" customFormat="1" ht="15.75" thickTop="1" x14ac:dyDescent="0.2">
      <c r="C173" s="560"/>
      <c r="P173" s="543"/>
      <c r="Q173" s="543"/>
      <c r="R173" s="543"/>
      <c r="S173" s="543"/>
      <c r="T173" s="543"/>
      <c r="U173" s="543"/>
      <c r="V173" s="543"/>
      <c r="W173" s="543"/>
      <c r="X173" s="543"/>
      <c r="Y173" s="543"/>
      <c r="Z173" s="543"/>
      <c r="AA173" s="543"/>
      <c r="AB173" s="543"/>
      <c r="AC173" s="543"/>
      <c r="AD173" s="543"/>
      <c r="AE173" s="543"/>
      <c r="AF173" s="543"/>
      <c r="AG173" s="543"/>
      <c r="AH173" s="543"/>
      <c r="AI173" s="543"/>
      <c r="AJ173" s="557"/>
      <c r="AK173" s="557"/>
      <c r="AL173" s="557"/>
      <c r="AM173" s="557"/>
      <c r="AN173" s="557"/>
      <c r="AO173" s="557"/>
      <c r="AP173" s="557"/>
      <c r="AQ173" s="557"/>
      <c r="AR173" s="557"/>
      <c r="AS173" s="557"/>
      <c r="AT173" s="557"/>
      <c r="AU173" s="557"/>
      <c r="AV173" s="557"/>
      <c r="AW173" s="557"/>
      <c r="AX173" s="557"/>
      <c r="AY173" s="557"/>
      <c r="AZ173" s="557"/>
      <c r="BA173" s="557"/>
      <c r="BB173" s="557"/>
      <c r="BC173" s="557"/>
      <c r="BD173" s="557"/>
      <c r="BE173" s="557"/>
      <c r="BF173" s="557"/>
      <c r="BG173" s="557"/>
      <c r="BH173" s="557"/>
      <c r="BI173" s="536"/>
      <c r="BL173" s="536"/>
      <c r="BS173" s="562"/>
      <c r="BT173" s="536"/>
      <c r="CA173" s="562"/>
      <c r="CB173" s="562"/>
      <c r="CC173" s="536"/>
      <c r="CR173" s="560"/>
    </row>
    <row r="174" spans="3:96" s="559" customFormat="1" x14ac:dyDescent="0.2">
      <c r="C174" s="560"/>
      <c r="AJ174" s="561"/>
      <c r="AK174" s="561"/>
      <c r="AL174" s="561"/>
      <c r="AM174" s="561"/>
      <c r="AN174" s="561"/>
      <c r="AO174" s="561"/>
      <c r="AP174" s="561"/>
      <c r="AQ174" s="561"/>
      <c r="AR174" s="561"/>
      <c r="AS174" s="561"/>
      <c r="AT174" s="561"/>
      <c r="AU174" s="561"/>
      <c r="AV174" s="561"/>
      <c r="AW174" s="561"/>
      <c r="AX174" s="561"/>
      <c r="AY174" s="561"/>
      <c r="AZ174" s="561"/>
      <c r="BA174" s="561"/>
      <c r="BB174" s="561"/>
      <c r="BC174" s="561"/>
      <c r="BD174" s="561"/>
      <c r="BE174" s="561"/>
      <c r="BF174" s="561"/>
      <c r="BG174" s="561"/>
      <c r="BH174" s="561"/>
      <c r="BI174" s="536"/>
      <c r="BL174" s="536"/>
      <c r="BS174" s="562"/>
      <c r="BT174" s="536"/>
      <c r="CA174" s="562"/>
      <c r="CB174" s="562"/>
      <c r="CC174" s="536"/>
      <c r="CR174" s="560"/>
    </row>
    <row r="176" spans="3:96" x14ac:dyDescent="0.2">
      <c r="C176" s="494" t="s">
        <v>891</v>
      </c>
    </row>
    <row r="177" spans="3:3" x14ac:dyDescent="0.2">
      <c r="C177" s="659" t="s">
        <v>892</v>
      </c>
    </row>
    <row r="178" spans="3:3" x14ac:dyDescent="0.2">
      <c r="C178" s="660" t="s">
        <v>893</v>
      </c>
    </row>
  </sheetData>
  <mergeCells count="3">
    <mergeCell ref="BJ2:BK2"/>
    <mergeCell ref="BM2:BS2"/>
    <mergeCell ref="BU2:CB2"/>
  </mergeCells>
  <pageMargins left="0.25" right="0.25" top="0.75" bottom="0.7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7"/>
  <sheetViews>
    <sheetView zoomScaleNormal="100" workbookViewId="0">
      <pane xSplit="1" ySplit="4" topLeftCell="AZ5" activePane="bottomRight" state="frozen"/>
      <selection activeCell="C47" sqref="C47"/>
      <selection pane="topRight" activeCell="C47" sqref="C47"/>
      <selection pane="bottomLeft" activeCell="C47" sqref="C47"/>
      <selection pane="bottomRight" activeCell="BP7" sqref="BP7"/>
    </sheetView>
  </sheetViews>
  <sheetFormatPr defaultColWidth="8.7109375" defaultRowHeight="12.75" x14ac:dyDescent="0.2"/>
  <cols>
    <col min="1" max="1" width="27.42578125" style="2" customWidth="1"/>
    <col min="2" max="2" width="8.7109375" style="2" customWidth="1"/>
    <col min="3" max="3" width="10.85546875" style="2" bestFit="1" customWidth="1"/>
    <col min="4" max="4" width="10.85546875" style="2" customWidth="1"/>
    <col min="5" max="5" width="2.5703125" style="2" customWidth="1"/>
    <col min="6" max="6" width="10.85546875" style="2" customWidth="1"/>
    <col min="7" max="8" width="10" style="2" customWidth="1"/>
    <col min="9" max="9" width="2.5703125" style="2" customWidth="1"/>
    <col min="10" max="10" width="10.42578125" style="2" customWidth="1"/>
    <col min="11" max="12" width="8.140625" style="2" customWidth="1"/>
    <col min="13" max="13" width="2.5703125" style="2" customWidth="1"/>
    <col min="14" max="14" width="8.7109375" style="2" customWidth="1"/>
    <col min="15" max="15" width="11.85546875" style="2" customWidth="1"/>
    <col min="16" max="16" width="8.7109375" style="2" bestFit="1" customWidth="1"/>
    <col min="17" max="17" width="2.5703125" style="2" customWidth="1"/>
    <col min="18" max="18" width="6.7109375" style="2" bestFit="1" customWidth="1"/>
    <col min="19" max="19" width="6.140625" style="2" bestFit="1" customWidth="1"/>
    <col min="20" max="20" width="2.5703125" style="2" customWidth="1"/>
    <col min="21" max="21" width="6.7109375" style="2" bestFit="1" customWidth="1"/>
    <col min="22" max="22" width="6.140625" style="2" bestFit="1" customWidth="1"/>
    <col min="23" max="23" width="2.5703125" style="788" customWidth="1"/>
    <col min="24" max="24" width="6.7109375" style="788" bestFit="1" customWidth="1"/>
    <col min="25" max="25" width="6.140625" style="788" bestFit="1" customWidth="1"/>
    <col min="26" max="26" width="2.5703125" style="2" customWidth="1"/>
    <col min="27" max="27" width="6.7109375" style="2" bestFit="1" customWidth="1"/>
    <col min="28" max="28" width="6.140625" style="2" bestFit="1" customWidth="1"/>
    <col min="29" max="29" width="2.5703125" style="2" customWidth="1"/>
    <col min="30" max="30" width="6.7109375" style="2" bestFit="1" customWidth="1"/>
    <col min="31" max="31" width="6.140625" style="2" bestFit="1" customWidth="1"/>
    <col min="32" max="32" width="2.5703125" style="2" customWidth="1"/>
    <col min="33" max="33" width="6.7109375" style="2" bestFit="1" customWidth="1"/>
    <col min="34" max="34" width="6.140625" style="2" bestFit="1" customWidth="1"/>
    <col min="35" max="35" width="2.5703125" style="2" customWidth="1"/>
    <col min="36" max="36" width="6.7109375" style="2" bestFit="1" customWidth="1"/>
    <col min="37" max="37" width="6.140625" style="2" bestFit="1" customWidth="1"/>
    <col min="38" max="38" width="2.5703125" style="2" customWidth="1"/>
    <col min="39" max="39" width="6.7109375" style="788" bestFit="1" customWidth="1"/>
    <col min="40" max="40" width="6.140625" style="788" bestFit="1" customWidth="1"/>
    <col min="41" max="41" width="2.5703125" style="788" customWidth="1"/>
    <col min="42" max="42" width="6.7109375" style="788" bestFit="1" customWidth="1"/>
    <col min="43" max="43" width="6.140625" style="788" bestFit="1" customWidth="1"/>
    <col min="44" max="44" width="2.5703125" style="788" customWidth="1"/>
    <col min="45" max="45" width="6.7109375" style="788" bestFit="1" customWidth="1"/>
    <col min="46" max="46" width="6.140625" style="788" bestFit="1" customWidth="1"/>
    <col min="47" max="47" width="2.5703125" style="788" customWidth="1"/>
    <col min="48" max="48" width="7.85546875" style="788" customWidth="1"/>
    <col min="49" max="49" width="6.140625" style="2" bestFit="1" customWidth="1"/>
    <col min="50" max="50" width="2.5703125" style="788" customWidth="1"/>
    <col min="51" max="51" width="7.28515625" style="788" customWidth="1"/>
    <col min="52" max="52" width="6.140625" style="788" bestFit="1" customWidth="1"/>
    <col min="53" max="53" width="2.5703125" style="2" customWidth="1"/>
    <col min="54" max="54" width="6.7109375" style="2" bestFit="1" customWidth="1"/>
    <col min="55" max="55" width="6.140625" style="2" bestFit="1" customWidth="1"/>
    <col min="56" max="56" width="2.5703125" style="2" customWidth="1"/>
    <col min="57" max="57" width="6.7109375" style="788" bestFit="1" customWidth="1"/>
    <col min="58" max="58" width="6.140625" style="788" bestFit="1" customWidth="1"/>
    <col min="59" max="59" width="2.5703125" style="788" customWidth="1"/>
    <col min="60" max="60" width="6.7109375" style="788" bestFit="1" customWidth="1"/>
    <col min="61" max="61" width="6.140625" style="788" bestFit="1" customWidth="1"/>
    <col min="62" max="62" width="2.5703125" style="788" customWidth="1"/>
    <col min="63" max="63" width="6.7109375" style="788" bestFit="1" customWidth="1"/>
    <col min="64" max="64" width="6.140625" style="788" bestFit="1" customWidth="1"/>
    <col min="65" max="65" width="2.5703125" style="788" customWidth="1"/>
    <col min="66" max="66" width="7.85546875" style="788" customWidth="1"/>
    <col min="67" max="67" width="6.140625" style="788" bestFit="1" customWidth="1"/>
    <col min="68" max="68" width="2.5703125" style="788" customWidth="1"/>
    <col min="69" max="69" width="7.28515625" style="788" customWidth="1"/>
    <col min="70" max="70" width="6.140625" style="788" bestFit="1" customWidth="1"/>
    <col min="71" max="71" width="2.5703125" style="788" customWidth="1"/>
    <col min="72" max="16384" width="8.7109375" style="2"/>
  </cols>
  <sheetData>
    <row r="1" spans="1:71" ht="13.5" thickBot="1" x14ac:dyDescent="0.25">
      <c r="R1" s="864" t="s">
        <v>1272</v>
      </c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4"/>
      <c r="AM1" s="864" t="s">
        <v>1273</v>
      </c>
      <c r="AN1" s="864"/>
      <c r="AO1" s="864"/>
      <c r="AP1" s="864"/>
      <c r="AQ1" s="864"/>
      <c r="AR1" s="864"/>
      <c r="AS1" s="864"/>
      <c r="AT1" s="864"/>
      <c r="AU1" s="864"/>
      <c r="AV1" s="864"/>
      <c r="AW1" s="864"/>
      <c r="AX1" s="864"/>
      <c r="AY1" s="864"/>
      <c r="AZ1" s="864"/>
      <c r="BA1" s="864"/>
      <c r="BB1" s="864"/>
      <c r="BC1" s="864"/>
      <c r="BE1" s="864" t="s">
        <v>1341</v>
      </c>
      <c r="BF1" s="864"/>
      <c r="BG1" s="864"/>
      <c r="BH1" s="864"/>
      <c r="BI1" s="864"/>
      <c r="BJ1" s="864"/>
      <c r="BK1" s="864"/>
      <c r="BL1" s="864"/>
      <c r="BM1" s="864"/>
      <c r="BN1" s="864"/>
      <c r="BO1" s="864"/>
      <c r="BP1" s="864"/>
      <c r="BQ1" s="864"/>
      <c r="BR1" s="864"/>
    </row>
    <row r="2" spans="1:71" ht="13.5" thickBot="1" x14ac:dyDescent="0.25">
      <c r="R2" s="871" t="s">
        <v>1259</v>
      </c>
      <c r="S2" s="871"/>
      <c r="T2" s="871"/>
      <c r="U2" s="871"/>
      <c r="V2" s="871"/>
      <c r="W2" s="871"/>
      <c r="X2" s="871"/>
      <c r="Y2" s="871"/>
      <c r="Z2" s="871"/>
      <c r="AA2" s="871" t="s">
        <v>1260</v>
      </c>
      <c r="AB2" s="871"/>
      <c r="AC2" s="871"/>
      <c r="AD2" s="871"/>
      <c r="AE2" s="871"/>
      <c r="AF2" s="871"/>
      <c r="AG2" s="871"/>
      <c r="AH2" s="871"/>
      <c r="AI2" s="871"/>
      <c r="AJ2" s="871"/>
      <c r="AK2" s="871"/>
      <c r="AM2" s="864" t="s">
        <v>1259</v>
      </c>
      <c r="AN2" s="864"/>
      <c r="AO2" s="864"/>
      <c r="AP2" s="864"/>
      <c r="AQ2" s="864"/>
      <c r="AR2" s="864"/>
      <c r="AS2" s="864"/>
      <c r="AT2" s="864"/>
      <c r="AV2" s="864" t="s">
        <v>1260</v>
      </c>
      <c r="AW2" s="864"/>
      <c r="AX2" s="864"/>
      <c r="AY2" s="864"/>
      <c r="AZ2" s="864"/>
      <c r="BA2" s="864"/>
      <c r="BB2" s="864"/>
      <c r="BC2" s="864"/>
      <c r="BE2" s="864"/>
      <c r="BF2" s="864"/>
      <c r="BG2" s="864"/>
      <c r="BH2" s="864"/>
      <c r="BI2" s="864"/>
      <c r="BJ2" s="864"/>
      <c r="BK2" s="864"/>
      <c r="BL2" s="864"/>
      <c r="BM2" s="785"/>
      <c r="BN2" s="864"/>
      <c r="BO2" s="864"/>
      <c r="BP2" s="864"/>
      <c r="BQ2" s="864"/>
      <c r="BR2" s="864"/>
    </row>
    <row r="3" spans="1:71" ht="50.1" customHeight="1" x14ac:dyDescent="0.2">
      <c r="A3" s="18" t="s">
        <v>155</v>
      </c>
      <c r="B3" s="868" t="s">
        <v>1252</v>
      </c>
      <c r="C3" s="868"/>
      <c r="D3" s="868"/>
      <c r="F3" s="869" t="s">
        <v>156</v>
      </c>
      <c r="G3" s="869"/>
      <c r="H3" s="869"/>
      <c r="J3" s="870" t="s">
        <v>159</v>
      </c>
      <c r="K3" s="870"/>
      <c r="L3" s="870"/>
      <c r="N3" s="866" t="s">
        <v>157</v>
      </c>
      <c r="O3" s="866"/>
      <c r="P3" s="866"/>
      <c r="R3" s="866" t="s">
        <v>1271</v>
      </c>
      <c r="S3" s="866"/>
      <c r="U3" s="865" t="s">
        <v>1256</v>
      </c>
      <c r="V3" s="865"/>
      <c r="X3" s="865" t="s">
        <v>1335</v>
      </c>
      <c r="Y3" s="865"/>
      <c r="AA3" s="865" t="s">
        <v>1255</v>
      </c>
      <c r="AB3" s="865"/>
      <c r="AD3" s="865" t="s">
        <v>1257</v>
      </c>
      <c r="AE3" s="865"/>
      <c r="AG3" s="866" t="s">
        <v>508</v>
      </c>
      <c r="AH3" s="866"/>
      <c r="AJ3" s="866" t="s">
        <v>1258</v>
      </c>
      <c r="AK3" s="866"/>
      <c r="AM3" s="865" t="s">
        <v>1337</v>
      </c>
      <c r="AN3" s="865"/>
      <c r="AP3" s="866" t="s">
        <v>1338</v>
      </c>
      <c r="AQ3" s="866"/>
      <c r="AS3" s="865" t="s">
        <v>1335</v>
      </c>
      <c r="AT3" s="865"/>
      <c r="AV3" s="865" t="s">
        <v>1339</v>
      </c>
      <c r="AW3" s="865"/>
      <c r="AY3" s="865" t="s">
        <v>1274</v>
      </c>
      <c r="AZ3" s="865"/>
      <c r="BB3" s="866" t="s">
        <v>1258</v>
      </c>
      <c r="BC3" s="866"/>
      <c r="BE3" s="865" t="s">
        <v>1342</v>
      </c>
      <c r="BF3" s="865"/>
      <c r="BH3" s="865" t="s">
        <v>1256</v>
      </c>
      <c r="BI3" s="865"/>
      <c r="BK3" s="865" t="s">
        <v>1343</v>
      </c>
      <c r="BL3" s="865"/>
      <c r="BN3" s="865" t="s">
        <v>1257</v>
      </c>
      <c r="BO3" s="865"/>
      <c r="BQ3" s="866" t="s">
        <v>508</v>
      </c>
      <c r="BR3" s="866"/>
    </row>
    <row r="4" spans="1:71" ht="38.25" x14ac:dyDescent="0.2">
      <c r="B4" s="12" t="s">
        <v>1251</v>
      </c>
      <c r="C4" s="12" t="s">
        <v>1243</v>
      </c>
      <c r="D4" s="12" t="s">
        <v>474</v>
      </c>
      <c r="F4" s="12" t="s">
        <v>1253</v>
      </c>
      <c r="G4" s="12" t="s">
        <v>1243</v>
      </c>
      <c r="H4" s="12" t="s">
        <v>474</v>
      </c>
      <c r="J4" s="12" t="s">
        <v>1253</v>
      </c>
      <c r="K4" s="12" t="s">
        <v>1243</v>
      </c>
      <c r="L4" s="12" t="s">
        <v>474</v>
      </c>
      <c r="N4" s="12" t="s">
        <v>1251</v>
      </c>
      <c r="O4" s="12" t="s">
        <v>1243</v>
      </c>
      <c r="P4" s="12" t="s">
        <v>474</v>
      </c>
      <c r="R4" s="12" t="s">
        <v>1254</v>
      </c>
      <c r="S4" s="12" t="s">
        <v>1243</v>
      </c>
      <c r="U4" s="12" t="s">
        <v>1254</v>
      </c>
      <c r="V4" s="12" t="s">
        <v>1243</v>
      </c>
      <c r="X4" s="793" t="s">
        <v>1254</v>
      </c>
      <c r="Y4" s="793" t="s">
        <v>1243</v>
      </c>
      <c r="AA4" s="12" t="s">
        <v>1254</v>
      </c>
      <c r="AB4" s="12" t="s">
        <v>1243</v>
      </c>
      <c r="AD4" s="12" t="s">
        <v>1254</v>
      </c>
      <c r="AE4" s="12" t="s">
        <v>1243</v>
      </c>
      <c r="AG4" s="28" t="s">
        <v>1254</v>
      </c>
      <c r="AH4" s="28" t="s">
        <v>1243</v>
      </c>
      <c r="AJ4" s="28" t="s">
        <v>1254</v>
      </c>
      <c r="AK4" s="28" t="s">
        <v>1243</v>
      </c>
      <c r="AM4" s="793" t="s">
        <v>1254</v>
      </c>
      <c r="AN4" s="793" t="s">
        <v>1243</v>
      </c>
      <c r="AP4" s="795" t="s">
        <v>1254</v>
      </c>
      <c r="AQ4" s="795" t="s">
        <v>1243</v>
      </c>
      <c r="AS4" s="793" t="s">
        <v>1254</v>
      </c>
      <c r="AT4" s="793" t="s">
        <v>1243</v>
      </c>
      <c r="AV4" s="793" t="s">
        <v>1254</v>
      </c>
      <c r="AW4" s="12" t="s">
        <v>1243</v>
      </c>
      <c r="AY4" s="793" t="s">
        <v>1254</v>
      </c>
      <c r="AZ4" s="793" t="s">
        <v>1243</v>
      </c>
      <c r="BB4" s="28" t="s">
        <v>1254</v>
      </c>
      <c r="BC4" s="28" t="s">
        <v>1243</v>
      </c>
      <c r="BE4" s="793" t="s">
        <v>1254</v>
      </c>
      <c r="BF4" s="793" t="s">
        <v>1243</v>
      </c>
      <c r="BH4" s="795" t="s">
        <v>1254</v>
      </c>
      <c r="BI4" s="795" t="s">
        <v>1243</v>
      </c>
      <c r="BK4" s="793" t="s">
        <v>1254</v>
      </c>
      <c r="BL4" s="793" t="s">
        <v>1243</v>
      </c>
      <c r="BN4" s="793" t="s">
        <v>1254</v>
      </c>
      <c r="BO4" s="793" t="s">
        <v>1243</v>
      </c>
      <c r="BQ4" s="793" t="s">
        <v>1254</v>
      </c>
      <c r="BR4" s="793" t="s">
        <v>1243</v>
      </c>
    </row>
    <row r="5" spans="1:71" x14ac:dyDescent="0.2">
      <c r="A5" s="11" t="s">
        <v>34</v>
      </c>
      <c r="B5" s="29"/>
      <c r="O5" s="273"/>
      <c r="P5" s="273"/>
      <c r="R5" s="856"/>
      <c r="S5" s="737"/>
      <c r="U5" s="356"/>
      <c r="V5" s="737"/>
      <c r="X5" s="803"/>
      <c r="Y5" s="803"/>
      <c r="AA5" s="737"/>
      <c r="AB5" s="737"/>
      <c r="AD5" s="737"/>
      <c r="AE5" s="737"/>
      <c r="AG5" s="737"/>
      <c r="AH5" s="737"/>
      <c r="AJ5" s="737"/>
      <c r="AK5" s="737"/>
      <c r="AM5" s="803"/>
      <c r="AN5" s="803"/>
      <c r="AP5" s="803"/>
      <c r="AQ5" s="803"/>
      <c r="AS5" s="803"/>
      <c r="AT5" s="803"/>
      <c r="AV5" s="803"/>
      <c r="AW5" s="737"/>
      <c r="AY5" s="803"/>
      <c r="AZ5" s="803"/>
      <c r="BB5" s="737"/>
      <c r="BC5" s="737"/>
      <c r="BE5" s="803"/>
      <c r="BF5" s="803"/>
      <c r="BH5" s="803"/>
      <c r="BI5" s="803"/>
      <c r="BK5" s="803"/>
      <c r="BL5" s="803"/>
      <c r="BN5" s="803"/>
      <c r="BO5" s="803"/>
      <c r="BQ5" s="803"/>
      <c r="BR5" s="803"/>
    </row>
    <row r="6" spans="1:71" s="18" customFormat="1" x14ac:dyDescent="0.2">
      <c r="A6" s="18" t="s">
        <v>30</v>
      </c>
      <c r="B6" s="60">
        <v>0.92</v>
      </c>
      <c r="C6" s="293">
        <v>0.92</v>
      </c>
      <c r="D6" s="302">
        <f>(C6-B6)/B6</f>
        <v>0</v>
      </c>
      <c r="F6" s="267">
        <f>SUM(F7:F8)</f>
        <v>80</v>
      </c>
      <c r="G6" s="267">
        <f>SUM(G7:G8)</f>
        <v>56</v>
      </c>
      <c r="H6" s="302">
        <f>(G6-F6)/F6</f>
        <v>-0.3</v>
      </c>
      <c r="J6" s="267">
        <f>SUM(J7:J8)</f>
        <v>198.8</v>
      </c>
      <c r="K6" s="267">
        <f>SUM(K7:K8)</f>
        <v>153</v>
      </c>
      <c r="L6" s="302">
        <f>(K6-J6)/J6</f>
        <v>-0.23038229376257549</v>
      </c>
      <c r="N6" s="40">
        <f>N7</f>
        <v>10.28</v>
      </c>
      <c r="O6" s="293">
        <f>O7</f>
        <v>10.29</v>
      </c>
      <c r="P6" s="294">
        <f>(O6-N6)/N6</f>
        <v>9.7276264591437619E-4</v>
      </c>
      <c r="R6" s="20">
        <v>0.61</v>
      </c>
      <c r="S6" s="20">
        <v>0.71</v>
      </c>
      <c r="U6" s="20">
        <v>0.72</v>
      </c>
      <c r="V6" s="20">
        <v>0.82</v>
      </c>
      <c r="W6" s="794"/>
      <c r="X6" s="20" t="s">
        <v>1336</v>
      </c>
      <c r="Y6" s="20">
        <v>0.8</v>
      </c>
      <c r="AA6" s="20">
        <v>0.35</v>
      </c>
      <c r="AB6" s="20">
        <v>0.45</v>
      </c>
      <c r="AD6" s="20">
        <v>0.76</v>
      </c>
      <c r="AE6" s="20">
        <v>0.86</v>
      </c>
      <c r="AG6" s="20">
        <v>0.56999999999999995</v>
      </c>
      <c r="AH6" s="20">
        <v>0.67</v>
      </c>
      <c r="AJ6" s="20">
        <v>0.6</v>
      </c>
      <c r="AK6" s="20">
        <v>0.65</v>
      </c>
      <c r="AM6" s="20">
        <v>0.82</v>
      </c>
      <c r="AN6" s="20">
        <v>0.9</v>
      </c>
      <c r="AO6" s="794"/>
      <c r="AP6" s="20">
        <v>0.9</v>
      </c>
      <c r="AQ6" s="20">
        <v>0.9</v>
      </c>
      <c r="AR6" s="794"/>
      <c r="AS6" s="20" t="s">
        <v>1336</v>
      </c>
      <c r="AT6" s="20">
        <v>0.8</v>
      </c>
      <c r="AU6" s="794"/>
      <c r="AV6" s="20" t="s">
        <v>1340</v>
      </c>
      <c r="AW6" s="20">
        <v>0.9</v>
      </c>
      <c r="AX6" s="794"/>
      <c r="AY6" s="20">
        <v>0.5</v>
      </c>
      <c r="AZ6" s="20">
        <v>0.6</v>
      </c>
      <c r="BB6" s="20">
        <v>0.6</v>
      </c>
      <c r="BC6" s="20">
        <v>0.65</v>
      </c>
      <c r="BE6" s="20" t="s">
        <v>1336</v>
      </c>
      <c r="BF6" s="20">
        <v>0.1</v>
      </c>
      <c r="BG6" s="794"/>
      <c r="BH6" s="20">
        <v>0.57999999999999996</v>
      </c>
      <c r="BI6" s="20">
        <v>0.87</v>
      </c>
      <c r="BJ6" s="794"/>
      <c r="BK6" s="20">
        <v>0.77</v>
      </c>
      <c r="BL6" s="20">
        <v>0.83</v>
      </c>
      <c r="BM6" s="794"/>
      <c r="BN6" s="20">
        <v>0.95</v>
      </c>
      <c r="BO6" s="20">
        <v>0.97</v>
      </c>
      <c r="BP6" s="794"/>
      <c r="BQ6" s="20">
        <v>0.78</v>
      </c>
      <c r="BR6" s="20">
        <v>0.82</v>
      </c>
      <c r="BS6" s="794"/>
    </row>
    <row r="7" spans="1:71" x14ac:dyDescent="0.2">
      <c r="A7" s="3" t="s">
        <v>31</v>
      </c>
      <c r="B7" s="3">
        <v>0.94</v>
      </c>
      <c r="C7" s="280">
        <v>0.94</v>
      </c>
      <c r="D7" s="43">
        <f>(C7-B7)/B7</f>
        <v>0</v>
      </c>
      <c r="F7" s="13">
        <f>SUM(F12:F31)</f>
        <v>72</v>
      </c>
      <c r="G7" s="13">
        <f>SUM(G12:G31)</f>
        <v>45</v>
      </c>
      <c r="H7" s="43">
        <f>(G7-F7)/F7</f>
        <v>-0.375</v>
      </c>
      <c r="J7" s="13">
        <f>SUM(J12:J29)</f>
        <v>185.46666666666667</v>
      </c>
      <c r="K7" s="13">
        <f>SUM(K12:K29)</f>
        <v>143</v>
      </c>
      <c r="L7" s="43">
        <f>(K7-J7)/J7</f>
        <v>-0.22897196261682243</v>
      </c>
      <c r="N7" s="2">
        <v>10.28</v>
      </c>
      <c r="O7" s="2">
        <v>10.29</v>
      </c>
      <c r="P7" s="17">
        <f>(O7-N7)/N7</f>
        <v>9.7276264591437619E-4</v>
      </c>
      <c r="R7" s="17">
        <f t="shared" ref="R7:S9" si="0">R6</f>
        <v>0.61</v>
      </c>
      <c r="S7" s="17">
        <f t="shared" si="0"/>
        <v>0.71</v>
      </c>
      <c r="U7" s="17">
        <f t="shared" ref="U7:V9" si="1">U6</f>
        <v>0.72</v>
      </c>
      <c r="V7" s="17">
        <f t="shared" si="1"/>
        <v>0.82</v>
      </c>
      <c r="X7" s="17" t="str">
        <f t="shared" ref="X7:Y7" si="2">X6</f>
        <v>TBD</v>
      </c>
      <c r="Y7" s="17">
        <f t="shared" si="2"/>
        <v>0.8</v>
      </c>
      <c r="AA7" s="17">
        <f t="shared" ref="AA7:AB9" si="3">AA6</f>
        <v>0.35</v>
      </c>
      <c r="AB7" s="17">
        <f t="shared" si="3"/>
        <v>0.45</v>
      </c>
      <c r="AD7" s="17">
        <f t="shared" ref="AD7:AE9" si="4">AD6</f>
        <v>0.76</v>
      </c>
      <c r="AE7" s="17">
        <f t="shared" si="4"/>
        <v>0.86</v>
      </c>
      <c r="AG7" s="17">
        <f t="shared" ref="AG7:AH9" si="5">AG6</f>
        <v>0.56999999999999995</v>
      </c>
      <c r="AH7" s="17">
        <f t="shared" si="5"/>
        <v>0.67</v>
      </c>
      <c r="AJ7" s="17">
        <f t="shared" ref="AJ7:AK7" si="6">AJ6</f>
        <v>0.6</v>
      </c>
      <c r="AK7" s="17">
        <f t="shared" si="6"/>
        <v>0.65</v>
      </c>
      <c r="AM7" s="17">
        <f t="shared" ref="AM7:AN7" si="7">AM6</f>
        <v>0.82</v>
      </c>
      <c r="AN7" s="17">
        <f t="shared" si="7"/>
        <v>0.9</v>
      </c>
      <c r="AP7" s="17">
        <f t="shared" ref="AP7:AQ7" si="8">AP6</f>
        <v>0.9</v>
      </c>
      <c r="AQ7" s="17">
        <f t="shared" si="8"/>
        <v>0.9</v>
      </c>
      <c r="AS7" s="17" t="str">
        <f t="shared" ref="AS7:AT7" si="9">AS6</f>
        <v>TBD</v>
      </c>
      <c r="AT7" s="17">
        <f t="shared" si="9"/>
        <v>0.8</v>
      </c>
      <c r="AV7" s="17" t="str">
        <f t="shared" ref="AV7" si="10">AV6</f>
        <v>46%/87%</v>
      </c>
      <c r="AW7" s="17">
        <f t="shared" ref="AW7" si="11">AW6</f>
        <v>0.9</v>
      </c>
      <c r="AY7" s="17">
        <f t="shared" ref="AY7:AZ7" si="12">AY6</f>
        <v>0.5</v>
      </c>
      <c r="AZ7" s="17">
        <f t="shared" si="12"/>
        <v>0.6</v>
      </c>
      <c r="BB7" s="17">
        <f t="shared" ref="BB7:BC7" si="13">BB6</f>
        <v>0.6</v>
      </c>
      <c r="BC7" s="17">
        <f t="shared" si="13"/>
        <v>0.65</v>
      </c>
      <c r="BE7" s="17" t="str">
        <f t="shared" ref="BE7:BF7" si="14">BE6</f>
        <v>TBD</v>
      </c>
      <c r="BF7" s="17">
        <f t="shared" si="14"/>
        <v>0.1</v>
      </c>
      <c r="BH7" s="17">
        <f t="shared" ref="BH7:BI7" si="15">BH6</f>
        <v>0.57999999999999996</v>
      </c>
      <c r="BI7" s="17">
        <f t="shared" si="15"/>
        <v>0.87</v>
      </c>
      <c r="BK7" s="17">
        <f t="shared" ref="BK7:BL7" si="16">BK6</f>
        <v>0.77</v>
      </c>
      <c r="BL7" s="17">
        <f t="shared" si="16"/>
        <v>0.83</v>
      </c>
      <c r="BN7" s="17">
        <f t="shared" ref="BN7:BO9" si="17">BN6</f>
        <v>0.95</v>
      </c>
      <c r="BO7" s="17">
        <f t="shared" si="17"/>
        <v>0.97</v>
      </c>
      <c r="BQ7" s="17">
        <f t="shared" ref="BQ7:BR7" si="18">BQ6</f>
        <v>0.78</v>
      </c>
      <c r="BR7" s="17">
        <f t="shared" si="18"/>
        <v>0.82</v>
      </c>
    </row>
    <row r="8" spans="1:71" x14ac:dyDescent="0.2">
      <c r="A8" s="3" t="s">
        <v>32</v>
      </c>
      <c r="B8" s="10">
        <v>0.73</v>
      </c>
      <c r="C8" s="61">
        <v>0.81</v>
      </c>
      <c r="D8" s="43">
        <f>(C8-B8)/B8</f>
        <v>0.10958904109589052</v>
      </c>
      <c r="F8" s="59">
        <v>8</v>
      </c>
      <c r="G8" s="752">
        <v>11</v>
      </c>
      <c r="H8" s="43">
        <f>(G8-F8)/F8</f>
        <v>0.375</v>
      </c>
      <c r="J8" s="867">
        <f>10/9*12</f>
        <v>13.333333333333334</v>
      </c>
      <c r="K8" s="738">
        <v>10</v>
      </c>
      <c r="L8" s="43">
        <f>(K8-J8)/J8</f>
        <v>-0.25000000000000006</v>
      </c>
      <c r="N8" s="10">
        <v>7.02</v>
      </c>
      <c r="O8" s="9">
        <v>6.28</v>
      </c>
      <c r="P8" s="17">
        <f>(O8-N8)/N8</f>
        <v>-0.10541310541310532</v>
      </c>
      <c r="R8" s="17">
        <f t="shared" si="0"/>
        <v>0.61</v>
      </c>
      <c r="S8" s="17">
        <f t="shared" si="0"/>
        <v>0.71</v>
      </c>
      <c r="U8" s="17">
        <f t="shared" si="1"/>
        <v>0.72</v>
      </c>
      <c r="V8" s="17">
        <f t="shared" si="1"/>
        <v>0.82</v>
      </c>
      <c r="X8" s="17" t="str">
        <f t="shared" ref="X8:Y8" si="19">X7</f>
        <v>TBD</v>
      </c>
      <c r="Y8" s="17">
        <f t="shared" si="19"/>
        <v>0.8</v>
      </c>
      <c r="AA8" s="17">
        <f t="shared" si="3"/>
        <v>0.35</v>
      </c>
      <c r="AB8" s="17">
        <f t="shared" si="3"/>
        <v>0.45</v>
      </c>
      <c r="AD8" s="17">
        <f t="shared" si="4"/>
        <v>0.76</v>
      </c>
      <c r="AE8" s="17">
        <f t="shared" si="4"/>
        <v>0.86</v>
      </c>
      <c r="AG8" s="17">
        <f t="shared" si="5"/>
        <v>0.56999999999999995</v>
      </c>
      <c r="AH8" s="17">
        <f t="shared" si="5"/>
        <v>0.67</v>
      </c>
      <c r="AJ8" s="17"/>
      <c r="AK8" s="17"/>
      <c r="AM8" s="17"/>
      <c r="AN8" s="17"/>
      <c r="AP8" s="17"/>
      <c r="AQ8" s="17"/>
      <c r="AS8" s="17"/>
      <c r="AT8" s="17"/>
      <c r="AV8" s="17"/>
      <c r="AW8" s="17"/>
      <c r="AY8" s="17"/>
      <c r="AZ8" s="17"/>
      <c r="BB8" s="17"/>
      <c r="BC8" s="17"/>
      <c r="BE8" s="17" t="str">
        <f t="shared" ref="BE8:BF8" si="20">BE7</f>
        <v>TBD</v>
      </c>
      <c r="BF8" s="17">
        <f t="shared" si="20"/>
        <v>0.1</v>
      </c>
      <c r="BH8" s="17">
        <f t="shared" ref="BH8:BI8" si="21">BH7</f>
        <v>0.57999999999999996</v>
      </c>
      <c r="BI8" s="17">
        <f t="shared" si="21"/>
        <v>0.87</v>
      </c>
      <c r="BK8" s="17">
        <f t="shared" ref="BK8:BL8" si="22">BK7</f>
        <v>0.77</v>
      </c>
      <c r="BL8" s="17">
        <f t="shared" si="22"/>
        <v>0.83</v>
      </c>
      <c r="BN8" s="17">
        <f t="shared" si="17"/>
        <v>0.95</v>
      </c>
      <c r="BO8" s="17">
        <f t="shared" si="17"/>
        <v>0.97</v>
      </c>
      <c r="BQ8" s="17">
        <f t="shared" ref="BQ8:BR8" si="23">BQ7</f>
        <v>0.78</v>
      </c>
      <c r="BR8" s="17">
        <f t="shared" si="23"/>
        <v>0.82</v>
      </c>
    </row>
    <row r="9" spans="1:71" x14ac:dyDescent="0.2">
      <c r="A9" s="3" t="s">
        <v>33</v>
      </c>
      <c r="B9" s="10"/>
      <c r="C9" s="61"/>
      <c r="D9" s="43"/>
      <c r="F9" s="59"/>
      <c r="G9" s="59"/>
      <c r="H9" s="59"/>
      <c r="J9" s="357"/>
      <c r="K9" s="738"/>
      <c r="L9" s="738"/>
      <c r="N9" s="10"/>
      <c r="P9" s="17"/>
      <c r="R9" s="17">
        <f t="shared" si="0"/>
        <v>0.61</v>
      </c>
      <c r="S9" s="17">
        <f t="shared" si="0"/>
        <v>0.71</v>
      </c>
      <c r="U9" s="17">
        <f t="shared" si="1"/>
        <v>0.72</v>
      </c>
      <c r="V9" s="17">
        <f t="shared" si="1"/>
        <v>0.82</v>
      </c>
      <c r="X9" s="17" t="str">
        <f t="shared" ref="X9:Y9" si="24">X8</f>
        <v>TBD</v>
      </c>
      <c r="Y9" s="17">
        <f t="shared" si="24"/>
        <v>0.8</v>
      </c>
      <c r="AA9" s="17">
        <f t="shared" si="3"/>
        <v>0.35</v>
      </c>
      <c r="AB9" s="17">
        <f t="shared" si="3"/>
        <v>0.45</v>
      </c>
      <c r="AD9" s="17">
        <f t="shared" si="4"/>
        <v>0.76</v>
      </c>
      <c r="AE9" s="17">
        <f t="shared" si="4"/>
        <v>0.86</v>
      </c>
      <c r="AG9" s="17">
        <f t="shared" si="5"/>
        <v>0.56999999999999995</v>
      </c>
      <c r="AH9" s="17">
        <f t="shared" si="5"/>
        <v>0.67</v>
      </c>
      <c r="AJ9" s="17"/>
      <c r="AK9" s="17"/>
      <c r="AM9" s="17"/>
      <c r="AN9" s="17"/>
      <c r="AP9" s="17"/>
      <c r="AQ9" s="17"/>
      <c r="AS9" s="17"/>
      <c r="AT9" s="17"/>
      <c r="AV9" s="17"/>
      <c r="AW9" s="17"/>
      <c r="AY9" s="17"/>
      <c r="AZ9" s="17"/>
      <c r="BB9" s="17"/>
      <c r="BC9" s="17"/>
      <c r="BE9" s="17" t="str">
        <f t="shared" ref="BE9:BF9" si="25">BE8</f>
        <v>TBD</v>
      </c>
      <c r="BF9" s="17">
        <f t="shared" si="25"/>
        <v>0.1</v>
      </c>
      <c r="BH9" s="17">
        <f t="shared" ref="BH9:BI9" si="26">BH8</f>
        <v>0.57999999999999996</v>
      </c>
      <c r="BI9" s="17">
        <f t="shared" si="26"/>
        <v>0.87</v>
      </c>
      <c r="BK9" s="17">
        <f t="shared" ref="BK9:BL9" si="27">BK8</f>
        <v>0.77</v>
      </c>
      <c r="BL9" s="17">
        <f t="shared" si="27"/>
        <v>0.83</v>
      </c>
      <c r="BN9" s="17">
        <f t="shared" si="17"/>
        <v>0.95</v>
      </c>
      <c r="BO9" s="17">
        <f t="shared" si="17"/>
        <v>0.97</v>
      </c>
      <c r="BQ9" s="17">
        <f t="shared" ref="BQ9:BR9" si="28">BQ8</f>
        <v>0.78</v>
      </c>
      <c r="BR9" s="17">
        <f t="shared" si="28"/>
        <v>0.82</v>
      </c>
    </row>
    <row r="10" spans="1:71" x14ac:dyDescent="0.2">
      <c r="A10" s="16"/>
      <c r="B10" s="16"/>
      <c r="C10" s="15"/>
      <c r="D10" s="15"/>
    </row>
    <row r="11" spans="1:71" x14ac:dyDescent="0.2">
      <c r="A11" s="11" t="s">
        <v>399</v>
      </c>
      <c r="B11" s="29"/>
      <c r="C11" s="856"/>
      <c r="D11" s="273"/>
      <c r="F11" s="856"/>
      <c r="G11" s="736"/>
      <c r="H11" s="736"/>
      <c r="J11" s="856"/>
      <c r="K11" s="737"/>
      <c r="L11" s="737"/>
      <c r="O11" s="273"/>
      <c r="P11" s="273"/>
      <c r="R11" s="856"/>
      <c r="S11" s="737"/>
      <c r="U11" s="356"/>
      <c r="V11" s="737"/>
      <c r="X11" s="803"/>
      <c r="Y11" s="803"/>
      <c r="AA11" s="737"/>
      <c r="AB11" s="737"/>
      <c r="AD11" s="737"/>
      <c r="AE11" s="737"/>
      <c r="AG11" s="737"/>
      <c r="AH11" s="737"/>
      <c r="AJ11" s="737"/>
      <c r="AK11" s="737"/>
      <c r="AM11" s="803"/>
      <c r="AN11" s="803"/>
      <c r="AP11" s="803"/>
      <c r="AQ11" s="803"/>
      <c r="AS11" s="803"/>
      <c r="AT11" s="803"/>
      <c r="AV11" s="803"/>
      <c r="AW11" s="737"/>
      <c r="AY11" s="803"/>
      <c r="AZ11" s="803"/>
      <c r="BB11" s="737"/>
      <c r="BC11" s="737"/>
      <c r="BE11" s="803"/>
      <c r="BF11" s="803"/>
      <c r="BH11" s="803"/>
      <c r="BI11" s="803"/>
      <c r="BK11" s="803"/>
      <c r="BL11" s="803"/>
      <c r="BN11" s="803"/>
      <c r="BO11" s="803"/>
      <c r="BQ11" s="803"/>
      <c r="BR11" s="803"/>
    </row>
    <row r="12" spans="1:71" s="18" customFormat="1" x14ac:dyDescent="0.2">
      <c r="A12" s="3" t="s">
        <v>43</v>
      </c>
      <c r="B12" s="3"/>
      <c r="C12" s="21"/>
      <c r="D12" s="21"/>
      <c r="E12" s="3"/>
      <c r="F12" s="21">
        <v>0</v>
      </c>
      <c r="G12" s="21"/>
      <c r="H12" s="21"/>
      <c r="I12" s="3"/>
      <c r="J12" s="3"/>
      <c r="K12" s="3"/>
      <c r="L12" s="3"/>
      <c r="M12" s="3"/>
      <c r="N12" s="3"/>
      <c r="O12" s="23"/>
      <c r="P12" s="23"/>
      <c r="R12" s="24"/>
      <c r="S12" s="24"/>
      <c r="U12" s="24"/>
      <c r="V12" s="24"/>
      <c r="W12" s="794"/>
      <c r="X12" s="24"/>
      <c r="Y12" s="24"/>
      <c r="AA12" s="24"/>
      <c r="AB12" s="24"/>
      <c r="AD12" s="24"/>
      <c r="AE12" s="24"/>
      <c r="AG12" s="24"/>
      <c r="AH12" s="24"/>
      <c r="AJ12" s="24"/>
      <c r="AK12" s="24"/>
      <c r="AM12" s="24"/>
      <c r="AN12" s="24"/>
      <c r="AO12" s="794"/>
      <c r="AP12" s="24"/>
      <c r="AQ12" s="24"/>
      <c r="AR12" s="794"/>
      <c r="AS12" s="24"/>
      <c r="AT12" s="24"/>
      <c r="AU12" s="794"/>
      <c r="AV12" s="24"/>
      <c r="AW12" s="24"/>
      <c r="AX12" s="794"/>
      <c r="AY12" s="24"/>
      <c r="AZ12" s="24"/>
      <c r="BB12" s="24"/>
      <c r="BC12" s="24"/>
      <c r="BE12" s="24"/>
      <c r="BF12" s="24"/>
      <c r="BG12" s="794"/>
      <c r="BH12" s="24"/>
      <c r="BI12" s="24"/>
      <c r="BJ12" s="794"/>
      <c r="BK12" s="24"/>
      <c r="BL12" s="24"/>
      <c r="BM12" s="794"/>
      <c r="BN12" s="24"/>
      <c r="BO12" s="24"/>
      <c r="BP12" s="794"/>
      <c r="BQ12" s="24"/>
      <c r="BR12" s="24"/>
      <c r="BS12" s="794"/>
    </row>
    <row r="13" spans="1:71" s="18" customFormat="1" x14ac:dyDescent="0.2">
      <c r="A13" s="3" t="s">
        <v>44</v>
      </c>
      <c r="B13" s="3"/>
      <c r="C13" s="21"/>
      <c r="D13" s="21"/>
      <c r="E13" s="3"/>
      <c r="F13" s="3"/>
      <c r="G13" s="3"/>
      <c r="H13" s="3"/>
      <c r="I13" s="3"/>
      <c r="J13" s="10"/>
      <c r="K13" s="10"/>
      <c r="L13" s="10"/>
      <c r="M13" s="3"/>
      <c r="N13" s="3"/>
      <c r="O13" s="3"/>
      <c r="P13" s="3"/>
      <c r="W13" s="794"/>
      <c r="X13" s="794"/>
      <c r="Y13" s="794"/>
      <c r="AM13" s="794"/>
      <c r="AN13" s="794"/>
      <c r="AO13" s="794"/>
      <c r="AP13" s="794"/>
      <c r="AQ13" s="794"/>
      <c r="AR13" s="794"/>
      <c r="AS13" s="794"/>
      <c r="AT13" s="794"/>
      <c r="AU13" s="794"/>
      <c r="AV13" s="794"/>
      <c r="AX13" s="794"/>
      <c r="AY13" s="794"/>
      <c r="AZ13" s="794"/>
      <c r="BE13" s="794"/>
      <c r="BF13" s="794"/>
      <c r="BG13" s="794"/>
      <c r="BH13" s="794"/>
      <c r="BI13" s="794"/>
      <c r="BJ13" s="794"/>
      <c r="BK13" s="794"/>
      <c r="BL13" s="794"/>
      <c r="BM13" s="794"/>
      <c r="BN13" s="794"/>
      <c r="BO13" s="794"/>
      <c r="BP13" s="794"/>
      <c r="BQ13" s="794"/>
      <c r="BR13" s="794"/>
      <c r="BS13" s="794"/>
    </row>
    <row r="14" spans="1:71" s="18" customFormat="1" x14ac:dyDescent="0.2">
      <c r="A14" s="3" t="s">
        <v>45</v>
      </c>
      <c r="B14" s="3"/>
      <c r="C14" s="21"/>
      <c r="D14" s="21"/>
      <c r="E14" s="3"/>
      <c r="F14" s="3"/>
      <c r="G14" s="3"/>
      <c r="H14" s="3"/>
      <c r="I14" s="3"/>
      <c r="J14" s="10"/>
      <c r="K14" s="10"/>
      <c r="L14" s="10"/>
      <c r="M14" s="3"/>
      <c r="N14" s="3"/>
      <c r="O14" s="23"/>
      <c r="P14" s="23"/>
      <c r="R14" s="47"/>
      <c r="S14" s="47"/>
      <c r="U14" s="47"/>
      <c r="V14" s="47"/>
      <c r="W14" s="794"/>
      <c r="X14" s="47"/>
      <c r="Y14" s="47"/>
      <c r="AA14" s="47"/>
      <c r="AB14" s="47"/>
      <c r="AD14" s="47"/>
      <c r="AE14" s="47"/>
      <c r="AG14" s="47"/>
      <c r="AH14" s="47"/>
      <c r="AJ14" s="47"/>
      <c r="AK14" s="47"/>
      <c r="AM14" s="47"/>
      <c r="AN14" s="47"/>
      <c r="AO14" s="794"/>
      <c r="AP14" s="47"/>
      <c r="AQ14" s="47"/>
      <c r="AR14" s="794"/>
      <c r="AS14" s="47"/>
      <c r="AT14" s="47"/>
      <c r="AU14" s="794"/>
      <c r="AV14" s="47"/>
      <c r="AW14" s="47"/>
      <c r="AX14" s="794"/>
      <c r="AY14" s="47"/>
      <c r="AZ14" s="47"/>
      <c r="BB14" s="47"/>
      <c r="BC14" s="47"/>
      <c r="BE14" s="47"/>
      <c r="BF14" s="47"/>
      <c r="BG14" s="794"/>
      <c r="BH14" s="47"/>
      <c r="BI14" s="47"/>
      <c r="BJ14" s="794"/>
      <c r="BK14" s="47"/>
      <c r="BL14" s="47"/>
      <c r="BM14" s="794"/>
      <c r="BN14" s="47"/>
      <c r="BO14" s="47"/>
      <c r="BP14" s="794"/>
      <c r="BQ14" s="47"/>
      <c r="BR14" s="47"/>
      <c r="BS14" s="794"/>
    </row>
    <row r="15" spans="1:71" s="18" customFormat="1" x14ac:dyDescent="0.2">
      <c r="A15" s="3" t="s">
        <v>46</v>
      </c>
      <c r="B15" s="3"/>
      <c r="C15" s="21"/>
      <c r="D15" s="21"/>
      <c r="E15" s="3"/>
      <c r="F15" s="3">
        <f>5/10*12</f>
        <v>6</v>
      </c>
      <c r="G15" s="265">
        <f>SUM('Emergency Medicine'!E13:E15)</f>
        <v>5</v>
      </c>
      <c r="H15" s="43">
        <f t="shared" ref="H15" si="29">(G15-F15)/F15</f>
        <v>-0.16666666666666666</v>
      </c>
      <c r="I15" s="3"/>
      <c r="J15" s="21">
        <f>(5+7)/10*12</f>
        <v>14.399999999999999</v>
      </c>
      <c r="K15" s="265">
        <f>SUM('Emergency Medicine'!E10:E12)</f>
        <v>9</v>
      </c>
      <c r="L15" s="43">
        <f t="shared" ref="L15:L25" si="30">(K15-J15)/J15</f>
        <v>-0.37499999999999994</v>
      </c>
      <c r="M15" s="3"/>
      <c r="N15" s="3"/>
      <c r="O15" s="21"/>
      <c r="P15" s="21"/>
      <c r="R15" s="21"/>
      <c r="S15" s="21"/>
      <c r="U15" s="21"/>
      <c r="V15" s="21"/>
      <c r="W15" s="794"/>
      <c r="X15" s="21"/>
      <c r="Y15" s="21"/>
      <c r="AA15" s="21"/>
      <c r="AB15" s="21"/>
      <c r="AD15" s="21"/>
      <c r="AE15" s="21"/>
      <c r="AG15" s="21"/>
      <c r="AH15" s="21"/>
      <c r="AJ15" s="21"/>
      <c r="AK15" s="21"/>
      <c r="AM15" s="21"/>
      <c r="AN15" s="21"/>
      <c r="AO15" s="794"/>
      <c r="AP15" s="21"/>
      <c r="AQ15" s="21"/>
      <c r="AR15" s="794"/>
      <c r="AS15" s="21"/>
      <c r="AT15" s="21"/>
      <c r="AU15" s="794"/>
      <c r="AV15" s="21"/>
      <c r="AW15" s="21"/>
      <c r="AX15" s="794"/>
      <c r="AY15" s="21"/>
      <c r="AZ15" s="21"/>
      <c r="BB15" s="21"/>
      <c r="BC15" s="21"/>
      <c r="BE15" s="21"/>
      <c r="BF15" s="21"/>
      <c r="BG15" s="794"/>
      <c r="BH15" s="21"/>
      <c r="BI15" s="21"/>
      <c r="BJ15" s="794"/>
      <c r="BK15" s="21"/>
      <c r="BL15" s="21"/>
      <c r="BM15" s="794"/>
      <c r="BN15" s="21"/>
      <c r="BO15" s="21"/>
      <c r="BP15" s="794"/>
      <c r="BQ15" s="21"/>
      <c r="BR15" s="21"/>
      <c r="BS15" s="794"/>
    </row>
    <row r="16" spans="1:71" x14ac:dyDescent="0.2">
      <c r="A16" s="3" t="s">
        <v>47</v>
      </c>
      <c r="B16" s="278">
        <v>0.32</v>
      </c>
      <c r="C16" s="278">
        <f>B16*1.01</f>
        <v>0.32319999999999999</v>
      </c>
      <c r="D16" s="43">
        <f t="shared" ref="D16:D22" si="31">(C16-B16)/B16</f>
        <v>9.9999999999999395E-3</v>
      </c>
      <c r="E16" s="3"/>
      <c r="F16" s="3"/>
      <c r="G16" s="3"/>
      <c r="H16" s="3"/>
      <c r="I16" s="3"/>
      <c r="J16" s="21">
        <f>3/10*12</f>
        <v>3.5999999999999996</v>
      </c>
      <c r="K16" s="3">
        <f>SUM('Familty &amp; Comm Medicine'!$E$12:$E$14)</f>
        <v>4</v>
      </c>
      <c r="L16" s="43">
        <f t="shared" si="30"/>
        <v>0.11111111111111122</v>
      </c>
      <c r="M16" s="3"/>
      <c r="N16" s="278">
        <v>13.92</v>
      </c>
      <c r="O16" s="280">
        <f>N16</f>
        <v>13.92</v>
      </c>
      <c r="P16" s="17">
        <f t="shared" ref="P16:P22" si="32">(O16-N16)/N16</f>
        <v>0</v>
      </c>
      <c r="R16" s="43">
        <f>R$6</f>
        <v>0.61</v>
      </c>
      <c r="S16" s="43">
        <f>S$6</f>
        <v>0.71</v>
      </c>
      <c r="U16" s="43">
        <f>U$6</f>
        <v>0.72</v>
      </c>
      <c r="V16" s="43">
        <f>V$6</f>
        <v>0.82</v>
      </c>
      <c r="X16" s="43" t="str">
        <f>X$6</f>
        <v>TBD</v>
      </c>
      <c r="Y16" s="43">
        <f>Y$6</f>
        <v>0.8</v>
      </c>
      <c r="AA16" s="24"/>
      <c r="AB16" s="24"/>
      <c r="AD16" s="24"/>
      <c r="AE16" s="24"/>
      <c r="AG16" s="24"/>
      <c r="AH16" s="24"/>
      <c r="AJ16" s="24"/>
      <c r="AK16" s="24"/>
      <c r="AM16" s="24"/>
      <c r="AN16" s="24"/>
      <c r="AP16" s="24"/>
      <c r="AQ16" s="24"/>
      <c r="AS16" s="24"/>
      <c r="AT16" s="24"/>
      <c r="AV16" s="24"/>
      <c r="AW16" s="24"/>
      <c r="AY16" s="24"/>
      <c r="AZ16" s="24"/>
      <c r="BB16" s="24"/>
      <c r="BC16" s="24"/>
      <c r="BE16" s="24"/>
      <c r="BF16" s="24"/>
      <c r="BH16" s="24"/>
      <c r="BI16" s="24"/>
      <c r="BK16" s="24"/>
      <c r="BL16" s="24"/>
      <c r="BN16" s="24"/>
      <c r="BO16" s="24"/>
      <c r="BQ16" s="24"/>
      <c r="BR16" s="24"/>
    </row>
    <row r="17" spans="1:71" x14ac:dyDescent="0.2">
      <c r="A17" s="3" t="s">
        <v>419</v>
      </c>
      <c r="B17" s="278"/>
      <c r="C17" s="21"/>
      <c r="D17" s="43" t="e">
        <f t="shared" si="31"/>
        <v>#DIV/0!</v>
      </c>
      <c r="E17" s="3"/>
      <c r="F17" s="3"/>
      <c r="G17" s="3"/>
      <c r="H17" s="3"/>
      <c r="I17" s="3"/>
      <c r="J17" s="3"/>
      <c r="K17" s="3"/>
      <c r="L17" s="3"/>
      <c r="M17" s="3"/>
      <c r="N17" s="278">
        <v>5</v>
      </c>
      <c r="O17" s="280">
        <f t="shared" ref="O17:O22" si="33">N17</f>
        <v>5</v>
      </c>
      <c r="P17" s="17">
        <f t="shared" si="32"/>
        <v>0</v>
      </c>
      <c r="R17" s="24"/>
      <c r="S17" s="24"/>
      <c r="U17" s="24"/>
      <c r="V17" s="24"/>
      <c r="X17" s="24"/>
      <c r="Y17" s="24"/>
      <c r="AA17" s="24"/>
      <c r="AB17" s="24"/>
      <c r="AD17" s="24"/>
      <c r="AE17" s="24"/>
      <c r="AG17" s="24"/>
      <c r="AH17" s="24"/>
      <c r="AJ17" s="24"/>
      <c r="AK17" s="24"/>
      <c r="AM17" s="24"/>
      <c r="AN17" s="24"/>
      <c r="AP17" s="24"/>
      <c r="AQ17" s="24"/>
      <c r="AS17" s="24"/>
      <c r="AT17" s="24"/>
      <c r="AV17" s="24"/>
      <c r="AW17" s="24"/>
      <c r="AY17" s="24"/>
      <c r="AZ17" s="24"/>
      <c r="BB17" s="24"/>
      <c r="BC17" s="24"/>
      <c r="BE17" s="24"/>
      <c r="BF17" s="24"/>
      <c r="BH17" s="24"/>
      <c r="BI17" s="24"/>
      <c r="BK17" s="24"/>
      <c r="BL17" s="24"/>
      <c r="BN17" s="24"/>
      <c r="BO17" s="24"/>
      <c r="BQ17" s="24"/>
      <c r="BR17" s="24"/>
    </row>
    <row r="18" spans="1:71" x14ac:dyDescent="0.2">
      <c r="A18" s="3" t="s">
        <v>48</v>
      </c>
      <c r="B18" s="278">
        <v>0.97</v>
      </c>
      <c r="C18" s="280">
        <v>0.94</v>
      </c>
      <c r="D18" s="43">
        <f t="shared" si="31"/>
        <v>-3.0927835051546421E-2</v>
      </c>
      <c r="E18" s="3"/>
      <c r="F18" s="21">
        <f>4/10*12</f>
        <v>4.8000000000000007</v>
      </c>
      <c r="G18" s="3">
        <f>SUM('Internal Medicine'!$E$15:$E$15)</f>
        <v>5</v>
      </c>
      <c r="H18" s="43">
        <f t="shared" ref="H18:H22" si="34">(G18-F18)/F18</f>
        <v>4.1666666666666512E-2</v>
      </c>
      <c r="I18" s="3"/>
      <c r="J18" s="21">
        <f>(5+48+3)/10*12</f>
        <v>67.199999999999989</v>
      </c>
      <c r="K18" s="3">
        <f>SUM('Internal Medicine'!$E$12:$E$14)</f>
        <v>65</v>
      </c>
      <c r="L18" s="43">
        <f t="shared" si="30"/>
        <v>-3.2738095238095073E-2</v>
      </c>
      <c r="M18" s="3"/>
      <c r="N18" s="278">
        <v>12.84</v>
      </c>
      <c r="O18" s="280">
        <f t="shared" si="33"/>
        <v>12.84</v>
      </c>
      <c r="P18" s="17">
        <f t="shared" si="32"/>
        <v>0</v>
      </c>
      <c r="R18" s="43">
        <f>R$6</f>
        <v>0.61</v>
      </c>
      <c r="S18" s="43">
        <f>S$6</f>
        <v>0.71</v>
      </c>
      <c r="U18" s="43">
        <f>U$6</f>
        <v>0.72</v>
      </c>
      <c r="V18" s="43">
        <f>V$6</f>
        <v>0.82</v>
      </c>
      <c r="X18" s="43" t="str">
        <f>X$6</f>
        <v>TBD</v>
      </c>
      <c r="Y18" s="43">
        <f>Y$6</f>
        <v>0.8</v>
      </c>
      <c r="AA18" s="23"/>
      <c r="AB18" s="23"/>
      <c r="AD18" s="23"/>
      <c r="AE18" s="23"/>
      <c r="AG18" s="23"/>
      <c r="AH18" s="23"/>
      <c r="AJ18" s="23"/>
      <c r="AK18" s="23"/>
      <c r="AM18" s="23"/>
      <c r="AN18" s="23"/>
      <c r="AP18" s="23"/>
      <c r="AQ18" s="23"/>
      <c r="AS18" s="23"/>
      <c r="AT18" s="23"/>
      <c r="AV18" s="23"/>
      <c r="AW18" s="23"/>
      <c r="AY18" s="23"/>
      <c r="AZ18" s="23"/>
      <c r="BB18" s="23"/>
      <c r="BC18" s="23"/>
      <c r="BE18" s="23"/>
      <c r="BF18" s="23"/>
      <c r="BH18" s="23"/>
      <c r="BI18" s="23"/>
      <c r="BK18" s="23"/>
      <c r="BL18" s="23"/>
      <c r="BN18" s="23"/>
      <c r="BO18" s="23"/>
      <c r="BQ18" s="23"/>
      <c r="BR18" s="23"/>
    </row>
    <row r="19" spans="1:71" s="18" customFormat="1" x14ac:dyDescent="0.2">
      <c r="A19" s="3" t="s">
        <v>49</v>
      </c>
      <c r="B19" s="278">
        <v>1.01</v>
      </c>
      <c r="C19" s="278">
        <v>0.93</v>
      </c>
      <c r="D19" s="43">
        <f t="shared" si="31"/>
        <v>-7.9207920792079167E-2</v>
      </c>
      <c r="E19" s="3"/>
      <c r="F19" s="3"/>
      <c r="G19" s="3">
        <f>Neurology!E12</f>
        <v>1</v>
      </c>
      <c r="H19" s="43" t="e">
        <f t="shared" si="34"/>
        <v>#DIV/0!</v>
      </c>
      <c r="I19" s="3"/>
      <c r="J19" s="21">
        <f>(3+0+3)/10*12</f>
        <v>7.1999999999999993</v>
      </c>
      <c r="K19" s="3">
        <f>SUM(Neurology!$E$9:$E$11)</f>
        <v>4</v>
      </c>
      <c r="L19" s="43">
        <f t="shared" si="30"/>
        <v>-0.44444444444444436</v>
      </c>
      <c r="M19" s="3"/>
      <c r="N19" s="278">
        <v>6.29</v>
      </c>
      <c r="O19" s="280">
        <f t="shared" si="33"/>
        <v>6.29</v>
      </c>
      <c r="P19" s="17">
        <f t="shared" si="32"/>
        <v>0</v>
      </c>
      <c r="R19" s="47"/>
      <c r="S19" s="47"/>
      <c r="U19" s="47"/>
      <c r="V19" s="47"/>
      <c r="W19" s="794"/>
      <c r="X19" s="47"/>
      <c r="Y19" s="47"/>
      <c r="AA19" s="47"/>
      <c r="AB19" s="47"/>
      <c r="AD19" s="47"/>
      <c r="AE19" s="47"/>
      <c r="AG19" s="47"/>
      <c r="AH19" s="47"/>
      <c r="AJ19" s="47"/>
      <c r="AK19" s="47"/>
      <c r="AM19" s="47"/>
      <c r="AN19" s="47"/>
      <c r="AO19" s="794"/>
      <c r="AP19" s="47"/>
      <c r="AQ19" s="47"/>
      <c r="AR19" s="794"/>
      <c r="AS19" s="47"/>
      <c r="AT19" s="47"/>
      <c r="AU19" s="794"/>
      <c r="AV19" s="47"/>
      <c r="AW19" s="47"/>
      <c r="AX19" s="794"/>
      <c r="AY19" s="47"/>
      <c r="AZ19" s="47"/>
      <c r="BB19" s="47"/>
      <c r="BC19" s="47"/>
      <c r="BE19" s="47"/>
      <c r="BF19" s="47"/>
      <c r="BG19" s="794"/>
      <c r="BH19" s="47"/>
      <c r="BI19" s="47"/>
      <c r="BJ19" s="794"/>
      <c r="BK19" s="47"/>
      <c r="BL19" s="47"/>
      <c r="BM19" s="794"/>
      <c r="BN19" s="47"/>
      <c r="BO19" s="47"/>
      <c r="BP19" s="794"/>
      <c r="BQ19" s="47"/>
      <c r="BR19" s="47"/>
      <c r="BS19" s="794"/>
    </row>
    <row r="20" spans="1:71" s="18" customFormat="1" x14ac:dyDescent="0.2">
      <c r="A20" s="3" t="s">
        <v>50</v>
      </c>
      <c r="B20" s="278">
        <v>1.24</v>
      </c>
      <c r="C20" s="278">
        <v>1</v>
      </c>
      <c r="D20" s="43">
        <f t="shared" si="31"/>
        <v>-0.19354838709677419</v>
      </c>
      <c r="E20" s="3"/>
      <c r="F20" s="21">
        <f>4/10*12</f>
        <v>4.8000000000000007</v>
      </c>
      <c r="G20" s="3">
        <f>SUM(Neurosurgery!$E$15:$E$19)</f>
        <v>2</v>
      </c>
      <c r="H20" s="43">
        <f t="shared" si="34"/>
        <v>-0.58333333333333337</v>
      </c>
      <c r="I20" s="3"/>
      <c r="J20" s="23">
        <f>(1+8+8)/10*12</f>
        <v>20.399999999999999</v>
      </c>
      <c r="K20" s="23">
        <f>SUM(Neurosurgery!$E$12:$E$14)</f>
        <v>8</v>
      </c>
      <c r="L20" s="43">
        <f t="shared" si="30"/>
        <v>-0.60784313725490191</v>
      </c>
      <c r="M20" s="3"/>
      <c r="N20" s="278">
        <v>14.04</v>
      </c>
      <c r="O20" s="280">
        <f t="shared" si="33"/>
        <v>14.04</v>
      </c>
      <c r="P20" s="17">
        <f t="shared" si="32"/>
        <v>0</v>
      </c>
      <c r="R20" s="24"/>
      <c r="S20" s="24"/>
      <c r="U20" s="24"/>
      <c r="V20" s="24"/>
      <c r="W20" s="794"/>
      <c r="X20" s="24"/>
      <c r="Y20" s="24"/>
      <c r="AA20" s="24"/>
      <c r="AB20" s="24"/>
      <c r="AD20" s="24"/>
      <c r="AE20" s="24"/>
      <c r="AG20" s="24"/>
      <c r="AH20" s="24"/>
      <c r="AJ20" s="24"/>
      <c r="AK20" s="24"/>
      <c r="AM20" s="24"/>
      <c r="AN20" s="24"/>
      <c r="AO20" s="794"/>
      <c r="AP20" s="24"/>
      <c r="AQ20" s="24"/>
      <c r="AR20" s="794"/>
      <c r="AS20" s="24"/>
      <c r="AT20" s="24"/>
      <c r="AU20" s="794"/>
      <c r="AV20" s="24"/>
      <c r="AW20" s="24"/>
      <c r="AX20" s="794"/>
      <c r="AY20" s="24"/>
      <c r="AZ20" s="24"/>
      <c r="BB20" s="24"/>
      <c r="BC20" s="24"/>
      <c r="BE20" s="24"/>
      <c r="BF20" s="24"/>
      <c r="BG20" s="794"/>
      <c r="BH20" s="24"/>
      <c r="BI20" s="24"/>
      <c r="BJ20" s="794"/>
      <c r="BK20" s="24"/>
      <c r="BL20" s="24"/>
      <c r="BM20" s="794"/>
      <c r="BN20" s="24"/>
      <c r="BO20" s="24"/>
      <c r="BP20" s="794"/>
      <c r="BQ20" s="24"/>
      <c r="BR20" s="24"/>
      <c r="BS20" s="794"/>
    </row>
    <row r="21" spans="1:71" x14ac:dyDescent="0.2">
      <c r="A21" s="3" t="s">
        <v>51</v>
      </c>
      <c r="B21" s="278">
        <v>0</v>
      </c>
      <c r="C21" s="280"/>
      <c r="D21" s="43" t="e">
        <f t="shared" si="31"/>
        <v>#DIV/0!</v>
      </c>
      <c r="E21" s="3"/>
      <c r="F21" s="21">
        <f>2/10*12</f>
        <v>2.4000000000000004</v>
      </c>
      <c r="G21" s="3">
        <f>Ob_Gyn!$E$15</f>
        <v>1</v>
      </c>
      <c r="H21" s="43">
        <f t="shared" si="34"/>
        <v>-0.58333333333333337</v>
      </c>
      <c r="I21" s="3"/>
      <c r="J21" s="21">
        <f>5/9*12</f>
        <v>6.666666666666667</v>
      </c>
      <c r="K21" s="21">
        <f>Ob_Gyn!E16</f>
        <v>3</v>
      </c>
      <c r="L21" s="43">
        <f t="shared" si="30"/>
        <v>-0.55000000000000004</v>
      </c>
      <c r="M21" s="3"/>
      <c r="N21" s="278">
        <v>6.74</v>
      </c>
      <c r="O21" s="280">
        <f t="shared" si="33"/>
        <v>6.74</v>
      </c>
      <c r="P21" s="17">
        <f t="shared" si="32"/>
        <v>0</v>
      </c>
      <c r="R21" s="24"/>
      <c r="S21" s="24"/>
      <c r="U21" s="24"/>
      <c r="V21" s="24"/>
      <c r="X21" s="24"/>
      <c r="Y21" s="24"/>
      <c r="AA21" s="24"/>
      <c r="AB21" s="24"/>
      <c r="AD21" s="24"/>
      <c r="AE21" s="24"/>
      <c r="AG21" s="24"/>
      <c r="AH21" s="24"/>
      <c r="AJ21" s="24"/>
      <c r="AK21" s="24"/>
      <c r="AM21" s="24"/>
      <c r="AN21" s="24"/>
      <c r="AP21" s="24"/>
      <c r="AQ21" s="24"/>
      <c r="AS21" s="24"/>
      <c r="AT21" s="24"/>
      <c r="AV21" s="24"/>
      <c r="AW21" s="24"/>
      <c r="AY21" s="24"/>
      <c r="AZ21" s="24"/>
      <c r="BB21" s="24"/>
      <c r="BC21" s="24"/>
      <c r="BE21" s="24"/>
      <c r="BF21" s="24"/>
      <c r="BH21" s="24"/>
      <c r="BI21" s="24"/>
      <c r="BK21" s="24"/>
      <c r="BL21" s="24"/>
      <c r="BN21" s="24"/>
      <c r="BO21" s="24"/>
      <c r="BQ21" s="24"/>
      <c r="BR21" s="24"/>
    </row>
    <row r="22" spans="1:71" x14ac:dyDescent="0.2">
      <c r="A22" s="3" t="s">
        <v>52</v>
      </c>
      <c r="B22" s="278">
        <v>0.38</v>
      </c>
      <c r="C22" s="278">
        <f>B22*1.01</f>
        <v>0.38380000000000003</v>
      </c>
      <c r="D22" s="43">
        <f t="shared" si="31"/>
        <v>1.0000000000000068E-2</v>
      </c>
      <c r="E22" s="3"/>
      <c r="F22" s="21">
        <f>4/10*12</f>
        <v>4.8000000000000007</v>
      </c>
      <c r="G22" s="3">
        <f>Orthopaedics!$E$17</f>
        <v>2</v>
      </c>
      <c r="H22" s="43">
        <f t="shared" si="34"/>
        <v>-0.58333333333333337</v>
      </c>
      <c r="I22" s="3"/>
      <c r="J22" s="23">
        <f>2/10*12</f>
        <v>2.4000000000000004</v>
      </c>
      <c r="K22" s="10">
        <f>Orthopaedics!$E$14</f>
        <v>0</v>
      </c>
      <c r="L22" s="43">
        <f t="shared" si="30"/>
        <v>-1</v>
      </c>
      <c r="M22" s="3"/>
      <c r="N22" s="278">
        <v>6.02</v>
      </c>
      <c r="O22" s="280">
        <f t="shared" si="33"/>
        <v>6.02</v>
      </c>
      <c r="P22" s="17">
        <f t="shared" si="32"/>
        <v>0</v>
      </c>
      <c r="R22" s="24"/>
      <c r="S22" s="24"/>
      <c r="U22" s="24"/>
      <c r="V22" s="24"/>
      <c r="X22" s="24"/>
      <c r="Y22" s="24"/>
      <c r="AA22" s="24"/>
      <c r="AB22" s="24"/>
      <c r="AD22" s="24"/>
      <c r="AE22" s="24"/>
      <c r="AG22" s="24"/>
      <c r="AH22" s="24"/>
      <c r="AJ22" s="24"/>
      <c r="AK22" s="24"/>
      <c r="AM22" s="24"/>
      <c r="AN22" s="24"/>
      <c r="AP22" s="24"/>
      <c r="AQ22" s="24"/>
      <c r="AS22" s="24"/>
      <c r="AT22" s="24"/>
      <c r="AV22" s="24"/>
      <c r="AW22" s="24"/>
      <c r="AY22" s="24"/>
      <c r="AZ22" s="24"/>
      <c r="BB22" s="24"/>
      <c r="BC22" s="24"/>
      <c r="BE22" s="24"/>
      <c r="BF22" s="24"/>
      <c r="BH22" s="24"/>
      <c r="BI22" s="24"/>
      <c r="BK22" s="24"/>
      <c r="BL22" s="24"/>
      <c r="BN22" s="24"/>
      <c r="BO22" s="24"/>
      <c r="BQ22" s="24"/>
      <c r="BR22" s="24"/>
    </row>
    <row r="23" spans="1:71" s="18" customFormat="1" x14ac:dyDescent="0.2">
      <c r="A23" s="3" t="s">
        <v>53</v>
      </c>
      <c r="B23" s="3"/>
      <c r="C23" s="21"/>
      <c r="D23" s="21"/>
      <c r="E23" s="3"/>
      <c r="F23" s="3"/>
      <c r="G23" s="3"/>
      <c r="H23" s="3"/>
      <c r="I23" s="3"/>
      <c r="J23" s="3"/>
      <c r="K23" s="3"/>
      <c r="L23" s="3"/>
      <c r="M23" s="3"/>
      <c r="N23" s="278"/>
      <c r="O23" s="280"/>
      <c r="P23" s="23"/>
      <c r="R23" s="24"/>
      <c r="S23" s="24"/>
      <c r="U23" s="24"/>
      <c r="V23" s="24"/>
      <c r="W23" s="794"/>
      <c r="X23" s="24"/>
      <c r="Y23" s="24"/>
      <c r="AA23" s="24"/>
      <c r="AB23" s="24"/>
      <c r="AD23" s="24"/>
      <c r="AE23" s="24"/>
      <c r="AG23" s="24"/>
      <c r="AH23" s="24"/>
      <c r="AJ23" s="24"/>
      <c r="AK23" s="24"/>
      <c r="AM23" s="24"/>
      <c r="AN23" s="24"/>
      <c r="AO23" s="794"/>
      <c r="AP23" s="24"/>
      <c r="AQ23" s="24"/>
      <c r="AR23" s="794"/>
      <c r="AS23" s="24"/>
      <c r="AT23" s="24"/>
      <c r="AU23" s="794"/>
      <c r="AV23" s="24"/>
      <c r="AW23" s="24"/>
      <c r="AX23" s="794"/>
      <c r="AY23" s="24"/>
      <c r="AZ23" s="24"/>
      <c r="BB23" s="24"/>
      <c r="BC23" s="24"/>
      <c r="BE23" s="24"/>
      <c r="BF23" s="24"/>
      <c r="BG23" s="794"/>
      <c r="BH23" s="24"/>
      <c r="BI23" s="24"/>
      <c r="BJ23" s="794"/>
      <c r="BK23" s="24"/>
      <c r="BL23" s="24"/>
      <c r="BM23" s="794"/>
      <c r="BN23" s="24"/>
      <c r="BO23" s="24"/>
      <c r="BP23" s="794"/>
      <c r="BQ23" s="24"/>
      <c r="BR23" s="24"/>
      <c r="BS23" s="794"/>
    </row>
    <row r="24" spans="1:71" x14ac:dyDescent="0.2">
      <c r="A24" s="3" t="s">
        <v>54</v>
      </c>
      <c r="B24" s="278">
        <v>0.83</v>
      </c>
      <c r="C24" s="278">
        <f>B24*1.01</f>
        <v>0.83829999999999993</v>
      </c>
      <c r="D24" s="43">
        <f>(C24-B24)/B24</f>
        <v>9.999999999999969E-3</v>
      </c>
      <c r="E24" s="3"/>
      <c r="F24" s="3"/>
      <c r="G24" s="3"/>
      <c r="H24" s="3"/>
      <c r="I24" s="3"/>
      <c r="J24" s="3">
        <f>(0+6+9)/10*12</f>
        <v>18</v>
      </c>
      <c r="K24" s="3">
        <f>SUM(Pediatrics!$E$9:$E$11)</f>
        <v>10</v>
      </c>
      <c r="L24" s="43">
        <f t="shared" si="30"/>
        <v>-0.44444444444444442</v>
      </c>
      <c r="M24" s="3"/>
      <c r="N24" s="278">
        <v>6.69</v>
      </c>
      <c r="O24" s="280">
        <f>N24</f>
        <v>6.69</v>
      </c>
      <c r="P24" s="17">
        <f>(O24-N24)/N24</f>
        <v>0</v>
      </c>
      <c r="R24" s="23"/>
      <c r="S24" s="23"/>
      <c r="U24" s="23"/>
      <c r="V24" s="23"/>
      <c r="X24" s="23"/>
      <c r="Y24" s="23"/>
      <c r="AA24" s="23"/>
      <c r="AB24" s="23"/>
      <c r="AD24" s="23"/>
      <c r="AE24" s="23"/>
      <c r="AG24" s="23"/>
      <c r="AH24" s="23"/>
      <c r="AJ24" s="23"/>
      <c r="AK24" s="23"/>
      <c r="AL24" s="17"/>
      <c r="AM24" s="43">
        <f>AM$6</f>
        <v>0.82</v>
      </c>
      <c r="AN24" s="43">
        <f>AN$6</f>
        <v>0.9</v>
      </c>
      <c r="AO24" s="43"/>
      <c r="AP24" s="43">
        <f>AP$6</f>
        <v>0.9</v>
      </c>
      <c r="AQ24" s="43">
        <f>AQ$6</f>
        <v>0.9</v>
      </c>
      <c r="AS24" s="43" t="str">
        <f>AS$6</f>
        <v>TBD</v>
      </c>
      <c r="AT24" s="43">
        <f>AT$6</f>
        <v>0.8</v>
      </c>
      <c r="AV24" s="23"/>
      <c r="AW24" s="300"/>
      <c r="AY24" s="23"/>
      <c r="AZ24" s="23"/>
      <c r="BA24" s="17"/>
      <c r="BB24" s="43">
        <f>BB$6</f>
        <v>0.6</v>
      </c>
      <c r="BC24" s="43">
        <f>BC$6</f>
        <v>0.65</v>
      </c>
      <c r="BE24" s="23"/>
      <c r="BF24" s="23"/>
      <c r="BH24" s="23"/>
      <c r="BI24" s="23"/>
      <c r="BK24" s="23"/>
      <c r="BL24" s="23"/>
      <c r="BN24" s="23"/>
      <c r="BO24" s="23"/>
      <c r="BQ24" s="23"/>
      <c r="BR24" s="23"/>
    </row>
    <row r="25" spans="1:71" s="18" customFormat="1" x14ac:dyDescent="0.2">
      <c r="A25" s="3" t="s">
        <v>475</v>
      </c>
      <c r="B25" s="278">
        <v>0</v>
      </c>
      <c r="C25" s="21"/>
      <c r="D25" s="21">
        <v>0</v>
      </c>
      <c r="E25" s="3"/>
      <c r="F25" s="3"/>
      <c r="G25" s="3"/>
      <c r="H25" s="3"/>
      <c r="I25" s="3"/>
      <c r="J25" s="265">
        <f>1/10*12</f>
        <v>1.2000000000000002</v>
      </c>
      <c r="K25" s="3">
        <v>0</v>
      </c>
      <c r="L25" s="43">
        <f t="shared" si="30"/>
        <v>-1</v>
      </c>
      <c r="M25" s="3"/>
      <c r="N25" s="278">
        <v>9.74</v>
      </c>
      <c r="O25" s="280">
        <f>N25</f>
        <v>9.74</v>
      </c>
      <c r="P25" s="17">
        <f>(O25-N25)/N25</f>
        <v>0</v>
      </c>
      <c r="R25" s="24"/>
      <c r="S25" s="24"/>
      <c r="U25" s="24"/>
      <c r="V25" s="24"/>
      <c r="W25" s="794"/>
      <c r="X25" s="24"/>
      <c r="Y25" s="24"/>
      <c r="AA25" s="24"/>
      <c r="AB25" s="24"/>
      <c r="AD25" s="24"/>
      <c r="AE25" s="24"/>
      <c r="AG25" s="24"/>
      <c r="AH25" s="24"/>
      <c r="AJ25" s="43">
        <f>AJ$6</f>
        <v>0.6</v>
      </c>
      <c r="AK25" s="43">
        <f>AK$6</f>
        <v>0.65</v>
      </c>
      <c r="AM25" s="24"/>
      <c r="AN25" s="24"/>
      <c r="AO25" s="794"/>
      <c r="AP25" s="24"/>
      <c r="AQ25" s="24"/>
      <c r="AR25" s="794"/>
      <c r="AS25" s="24"/>
      <c r="AT25" s="24"/>
      <c r="AU25" s="794"/>
      <c r="AV25" s="24"/>
      <c r="AW25" s="24"/>
      <c r="AX25" s="794"/>
      <c r="AY25" s="24"/>
      <c r="AZ25" s="24"/>
      <c r="BB25" s="24"/>
      <c r="BC25" s="24"/>
      <c r="BE25" s="24"/>
      <c r="BF25" s="24"/>
      <c r="BG25" s="794"/>
      <c r="BH25" s="24"/>
      <c r="BI25" s="24"/>
      <c r="BJ25" s="794"/>
      <c r="BK25" s="24"/>
      <c r="BL25" s="24"/>
      <c r="BM25" s="794"/>
      <c r="BN25" s="24"/>
      <c r="BO25" s="24"/>
      <c r="BP25" s="794"/>
      <c r="BQ25" s="24"/>
      <c r="BR25" s="24"/>
      <c r="BS25" s="794"/>
    </row>
    <row r="26" spans="1:71" s="18" customFormat="1" x14ac:dyDescent="0.2">
      <c r="A26" s="3" t="s">
        <v>476</v>
      </c>
      <c r="B26" s="278">
        <v>0</v>
      </c>
      <c r="C26" s="21"/>
      <c r="D26" s="21">
        <v>0</v>
      </c>
      <c r="E26" s="3"/>
      <c r="F26" s="3"/>
      <c r="G26" s="3"/>
      <c r="H26" s="3"/>
      <c r="I26" s="3"/>
      <c r="J26" s="3"/>
      <c r="K26" s="3"/>
      <c r="L26" s="3"/>
      <c r="M26" s="3"/>
      <c r="N26" s="278">
        <v>5.34</v>
      </c>
      <c r="O26" s="280">
        <f>N26</f>
        <v>5.34</v>
      </c>
      <c r="P26" s="17">
        <f>(O26-N26)/N26</f>
        <v>0</v>
      </c>
      <c r="R26" s="24"/>
      <c r="S26" s="24"/>
      <c r="U26" s="24"/>
      <c r="V26" s="24"/>
      <c r="W26" s="794"/>
      <c r="X26" s="24"/>
      <c r="Y26" s="24"/>
      <c r="AA26" s="24"/>
      <c r="AB26" s="24"/>
      <c r="AD26" s="24"/>
      <c r="AE26" s="24"/>
      <c r="AG26" s="24"/>
      <c r="AH26" s="24"/>
      <c r="AJ26" s="43"/>
      <c r="AK26" s="43"/>
      <c r="AM26" s="24"/>
      <c r="AN26" s="24"/>
      <c r="AO26" s="794"/>
      <c r="AP26" s="24"/>
      <c r="AQ26" s="24"/>
      <c r="AR26" s="794"/>
      <c r="AS26" s="24"/>
      <c r="AT26" s="24"/>
      <c r="AU26" s="794"/>
      <c r="AV26" s="24"/>
      <c r="AW26" s="24"/>
      <c r="AX26" s="794"/>
      <c r="AY26" s="24"/>
      <c r="AZ26" s="24"/>
      <c r="BB26" s="24"/>
      <c r="BC26" s="24"/>
      <c r="BE26" s="24"/>
      <c r="BF26" s="24"/>
      <c r="BG26" s="794"/>
      <c r="BH26" s="24"/>
      <c r="BI26" s="24"/>
      <c r="BJ26" s="794"/>
      <c r="BK26" s="24"/>
      <c r="BL26" s="24"/>
      <c r="BM26" s="794"/>
      <c r="BN26" s="24"/>
      <c r="BO26" s="24"/>
      <c r="BP26" s="794"/>
      <c r="BQ26" s="24"/>
      <c r="BR26" s="24"/>
      <c r="BS26" s="794"/>
    </row>
    <row r="27" spans="1:71" s="18" customFormat="1" x14ac:dyDescent="0.2">
      <c r="A27" s="3" t="s">
        <v>56</v>
      </c>
      <c r="B27" s="3"/>
      <c r="C27" s="21"/>
      <c r="D27" s="21"/>
      <c r="E27" s="3"/>
      <c r="F27" s="21">
        <f>1/10*12</f>
        <v>1.2000000000000002</v>
      </c>
      <c r="G27" s="3">
        <v>0</v>
      </c>
      <c r="H27" s="43">
        <f t="shared" ref="H27:H29" si="35">(G27-F27)/F27</f>
        <v>-1</v>
      </c>
      <c r="I27" s="3"/>
      <c r="J27" s="3"/>
      <c r="K27" s="3"/>
      <c r="L27" s="3"/>
      <c r="M27" s="3"/>
      <c r="N27" s="278"/>
      <c r="O27" s="280"/>
      <c r="P27" s="23"/>
      <c r="R27" s="24"/>
      <c r="S27" s="24"/>
      <c r="U27" s="24"/>
      <c r="V27" s="24"/>
      <c r="W27" s="794"/>
      <c r="X27" s="24"/>
      <c r="Y27" s="24"/>
      <c r="AA27" s="24"/>
      <c r="AB27" s="24"/>
      <c r="AD27" s="24"/>
      <c r="AE27" s="24"/>
      <c r="AG27" s="24"/>
      <c r="AH27" s="24"/>
      <c r="AJ27" s="24"/>
      <c r="AK27" s="24"/>
      <c r="AM27" s="24"/>
      <c r="AN27" s="24"/>
      <c r="AO27" s="794"/>
      <c r="AP27" s="24"/>
      <c r="AQ27" s="24"/>
      <c r="AR27" s="794"/>
      <c r="AS27" s="24"/>
      <c r="AT27" s="24"/>
      <c r="AU27" s="794"/>
      <c r="AV27" s="24"/>
      <c r="AW27" s="24"/>
      <c r="AX27" s="794"/>
      <c r="AY27" s="24"/>
      <c r="AZ27" s="24"/>
      <c r="BB27" s="24"/>
      <c r="BC27" s="24"/>
      <c r="BE27" s="24"/>
      <c r="BF27" s="24"/>
      <c r="BG27" s="794"/>
      <c r="BH27" s="24"/>
      <c r="BI27" s="24"/>
      <c r="BJ27" s="794"/>
      <c r="BK27" s="24"/>
      <c r="BL27" s="24"/>
      <c r="BM27" s="794"/>
      <c r="BN27" s="24"/>
      <c r="BO27" s="24"/>
      <c r="BP27" s="794"/>
      <c r="BQ27" s="24"/>
      <c r="BR27" s="24"/>
      <c r="BS27" s="794"/>
    </row>
    <row r="28" spans="1:71" s="18" customFormat="1" x14ac:dyDescent="0.2">
      <c r="A28" s="3" t="s">
        <v>57</v>
      </c>
      <c r="B28" s="278">
        <v>0.86</v>
      </c>
      <c r="C28" s="278">
        <f>B28*1.01</f>
        <v>0.86860000000000004</v>
      </c>
      <c r="D28" s="43">
        <f>(C28-B28)/B28</f>
        <v>1.0000000000000061E-2</v>
      </c>
      <c r="E28" s="3"/>
      <c r="F28" s="265">
        <f>(27)/10*12</f>
        <v>32.400000000000006</v>
      </c>
      <c r="G28" s="265">
        <f>SUM(Surgery!$E$17:$E$21)</f>
        <v>22</v>
      </c>
      <c r="H28" s="43">
        <f t="shared" si="35"/>
        <v>-0.32098765432098775</v>
      </c>
      <c r="I28" s="3"/>
      <c r="J28" s="23">
        <f>(6+2+26)/10*12</f>
        <v>40.799999999999997</v>
      </c>
      <c r="K28" s="23">
        <f>SUM(Surgery!$E$13:$E$16)</f>
        <v>33</v>
      </c>
      <c r="L28" s="43">
        <f t="shared" ref="L28:L29" si="36">(K28-J28)/J28</f>
        <v>-0.19117647058823523</v>
      </c>
      <c r="M28" s="3"/>
      <c r="N28" s="278">
        <v>8.43</v>
      </c>
      <c r="O28" s="280">
        <f>N28</f>
        <v>8.43</v>
      </c>
      <c r="P28" s="17">
        <f>(O28-N28)/N28</f>
        <v>0</v>
      </c>
      <c r="R28" s="24"/>
      <c r="S28" s="24"/>
      <c r="U28" s="24"/>
      <c r="V28" s="24"/>
      <c r="W28" s="794"/>
      <c r="X28" s="24"/>
      <c r="Y28" s="24"/>
      <c r="AA28" s="24"/>
      <c r="AB28" s="24"/>
      <c r="AD28" s="24"/>
      <c r="AE28" s="24"/>
      <c r="AG28" s="24"/>
      <c r="AH28" s="24"/>
      <c r="AJ28" s="24"/>
      <c r="AK28" s="24"/>
      <c r="AM28" s="24"/>
      <c r="AN28" s="24"/>
      <c r="AO28" s="794"/>
      <c r="AP28" s="24"/>
      <c r="AQ28" s="24"/>
      <c r="AR28" s="794"/>
      <c r="AS28" s="24"/>
      <c r="AT28" s="24"/>
      <c r="AU28" s="794"/>
      <c r="AV28" s="24"/>
      <c r="AW28" s="24"/>
      <c r="AX28" s="794"/>
      <c r="AY28" s="24"/>
      <c r="AZ28" s="24"/>
      <c r="BB28" s="24"/>
      <c r="BC28" s="24"/>
      <c r="BE28" s="24"/>
      <c r="BF28" s="24"/>
      <c r="BG28" s="794"/>
      <c r="BH28" s="24"/>
      <c r="BI28" s="24"/>
      <c r="BJ28" s="794"/>
      <c r="BK28" s="24"/>
      <c r="BL28" s="24"/>
      <c r="BM28" s="794"/>
      <c r="BN28" s="24"/>
      <c r="BO28" s="24"/>
      <c r="BP28" s="794"/>
      <c r="BQ28" s="24"/>
      <c r="BR28" s="24"/>
      <c r="BS28" s="794"/>
    </row>
    <row r="29" spans="1:71" s="18" customFormat="1" x14ac:dyDescent="0.2">
      <c r="A29" s="3" t="s">
        <v>477</v>
      </c>
      <c r="B29" s="278">
        <v>0.65</v>
      </c>
      <c r="C29" s="278">
        <f>B29*1.01</f>
        <v>0.65650000000000008</v>
      </c>
      <c r="D29" s="43">
        <f>(C29-B29)/B29</f>
        <v>1.0000000000000094E-2</v>
      </c>
      <c r="E29" s="3"/>
      <c r="F29" s="21">
        <f>2/10*12</f>
        <v>2.4000000000000004</v>
      </c>
      <c r="G29" s="278">
        <v>0</v>
      </c>
      <c r="H29" s="43">
        <f t="shared" si="35"/>
        <v>-1</v>
      </c>
      <c r="I29" s="3"/>
      <c r="J29" s="265">
        <f>(1+1+1)/10*12</f>
        <v>3.5999999999999996</v>
      </c>
      <c r="K29" s="265">
        <f>SUM('Cancer Center'!$E$11:$E$13)</f>
        <v>7</v>
      </c>
      <c r="L29" s="43">
        <f t="shared" si="36"/>
        <v>0.94444444444444464</v>
      </c>
      <c r="M29" s="3"/>
      <c r="N29" s="278"/>
      <c r="O29" s="298"/>
      <c r="P29" s="17"/>
      <c r="R29" s="56"/>
      <c r="S29" s="56"/>
      <c r="U29" s="56"/>
      <c r="V29" s="56"/>
      <c r="W29" s="794"/>
      <c r="X29" s="56"/>
      <c r="Y29" s="56"/>
      <c r="AA29" s="56"/>
      <c r="AB29" s="56"/>
      <c r="AD29" s="56"/>
      <c r="AE29" s="56"/>
      <c r="AG29" s="56"/>
      <c r="AH29" s="56"/>
      <c r="AJ29" s="56"/>
      <c r="AK29" s="56"/>
      <c r="AM29" s="56"/>
      <c r="AN29" s="56"/>
      <c r="AO29" s="794"/>
      <c r="AP29" s="56"/>
      <c r="AQ29" s="56"/>
      <c r="AR29" s="794"/>
      <c r="AS29" s="56"/>
      <c r="AT29" s="56"/>
      <c r="AU29" s="794"/>
      <c r="AV29" s="56"/>
      <c r="AW29" s="56"/>
      <c r="AX29" s="794"/>
      <c r="AY29" s="56"/>
      <c r="AZ29" s="56"/>
      <c r="BB29" s="56"/>
      <c r="BC29" s="56"/>
      <c r="BE29" s="56"/>
      <c r="BF29" s="56"/>
      <c r="BG29" s="794"/>
      <c r="BH29" s="56"/>
      <c r="BI29" s="56"/>
      <c r="BJ29" s="794"/>
      <c r="BK29" s="56"/>
      <c r="BL29" s="56"/>
      <c r="BM29" s="794"/>
      <c r="BN29" s="56"/>
      <c r="BO29" s="56"/>
      <c r="BP29" s="794"/>
      <c r="BQ29" s="56"/>
      <c r="BR29" s="56"/>
      <c r="BS29" s="794"/>
    </row>
    <row r="30" spans="1:71" s="18" customFormat="1" x14ac:dyDescent="0.2">
      <c r="A30" s="3"/>
      <c r="B30" s="3"/>
      <c r="C30" s="21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268"/>
      <c r="P30" s="268"/>
      <c r="R30" s="56"/>
      <c r="S30" s="56"/>
      <c r="U30" s="56"/>
      <c r="V30" s="56"/>
      <c r="W30" s="794"/>
      <c r="X30" s="56"/>
      <c r="Y30" s="56"/>
      <c r="AA30" s="56"/>
      <c r="AB30" s="56"/>
      <c r="AD30" s="56"/>
      <c r="AE30" s="56"/>
      <c r="AG30" s="56"/>
      <c r="AH30" s="56"/>
      <c r="AJ30" s="56"/>
      <c r="AK30" s="56"/>
      <c r="AM30" s="56"/>
      <c r="AN30" s="56"/>
      <c r="AO30" s="794"/>
      <c r="AP30" s="56"/>
      <c r="AQ30" s="56"/>
      <c r="AR30" s="794"/>
      <c r="AS30" s="56"/>
      <c r="AT30" s="56"/>
      <c r="AU30" s="794"/>
      <c r="AV30" s="56"/>
      <c r="AW30" s="56"/>
      <c r="AX30" s="794"/>
      <c r="AY30" s="56"/>
      <c r="AZ30" s="56"/>
      <c r="BB30" s="56"/>
      <c r="BC30" s="56"/>
      <c r="BE30" s="56"/>
      <c r="BF30" s="56"/>
      <c r="BG30" s="794"/>
      <c r="BH30" s="56"/>
      <c r="BI30" s="56"/>
      <c r="BJ30" s="794"/>
      <c r="BK30" s="56"/>
      <c r="BL30" s="56"/>
      <c r="BM30" s="794"/>
      <c r="BN30" s="56"/>
      <c r="BO30" s="56"/>
      <c r="BP30" s="794"/>
      <c r="BQ30" s="56"/>
      <c r="BR30" s="56"/>
      <c r="BS30" s="794"/>
    </row>
    <row r="31" spans="1:71" s="18" customFormat="1" x14ac:dyDescent="0.2">
      <c r="A31" s="3" t="s">
        <v>1263</v>
      </c>
      <c r="B31" s="3"/>
      <c r="C31" s="21"/>
      <c r="D31" s="21"/>
      <c r="E31" s="3"/>
      <c r="F31" s="21">
        <f>11/10*12</f>
        <v>13.200000000000001</v>
      </c>
      <c r="G31" s="3">
        <v>7</v>
      </c>
      <c r="H31" s="43">
        <f t="shared" ref="H31" si="37">(G31-F31)/F31</f>
        <v>-0.46969696969696972</v>
      </c>
      <c r="I31" s="3"/>
      <c r="J31" s="3"/>
      <c r="K31" s="3"/>
      <c r="L31" s="3"/>
      <c r="M31" s="3"/>
      <c r="N31" s="3"/>
      <c r="O31" s="268"/>
      <c r="P31" s="268"/>
      <c r="R31" s="56"/>
      <c r="S31" s="56"/>
      <c r="U31" s="56"/>
      <c r="V31" s="56"/>
      <c r="W31" s="794"/>
      <c r="X31" s="56"/>
      <c r="Y31" s="56"/>
      <c r="AA31" s="56"/>
      <c r="AB31" s="56"/>
      <c r="AD31" s="56"/>
      <c r="AE31" s="56"/>
      <c r="AG31" s="56"/>
      <c r="AH31" s="56"/>
      <c r="AJ31" s="56"/>
      <c r="AK31" s="56"/>
      <c r="AM31" s="56"/>
      <c r="AN31" s="56"/>
      <c r="AO31" s="794"/>
      <c r="AP31" s="56"/>
      <c r="AQ31" s="56"/>
      <c r="AR31" s="794"/>
      <c r="AS31" s="56"/>
      <c r="AT31" s="56"/>
      <c r="AU31" s="794"/>
      <c r="AV31" s="56"/>
      <c r="AW31" s="56"/>
      <c r="AX31" s="794"/>
      <c r="AY31" s="56"/>
      <c r="AZ31" s="56"/>
      <c r="BB31" s="56"/>
      <c r="BC31" s="56"/>
      <c r="BE31" s="56"/>
      <c r="BF31" s="56"/>
      <c r="BG31" s="794"/>
      <c r="BH31" s="56"/>
      <c r="BI31" s="56"/>
      <c r="BJ31" s="794"/>
      <c r="BK31" s="56"/>
      <c r="BL31" s="56"/>
      <c r="BM31" s="794"/>
      <c r="BN31" s="56"/>
      <c r="BO31" s="56"/>
      <c r="BP31" s="794"/>
      <c r="BQ31" s="56"/>
      <c r="BR31" s="56"/>
      <c r="BS31" s="794"/>
    </row>
    <row r="32" spans="1:71" s="18" customFormat="1" x14ac:dyDescent="0.2">
      <c r="A32" s="3"/>
      <c r="B32" s="3"/>
      <c r="C32" s="21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268"/>
      <c r="P32" s="268"/>
      <c r="R32" s="56"/>
      <c r="S32" s="56"/>
      <c r="U32" s="56"/>
      <c r="V32" s="56"/>
      <c r="W32" s="794"/>
      <c r="X32" s="56"/>
      <c r="Y32" s="56"/>
      <c r="AA32" s="56"/>
      <c r="AB32" s="56"/>
      <c r="AD32" s="56"/>
      <c r="AE32" s="56"/>
      <c r="AG32" s="56"/>
      <c r="AH32" s="56"/>
      <c r="AJ32" s="56"/>
      <c r="AK32" s="56"/>
      <c r="AM32" s="56"/>
      <c r="AN32" s="56"/>
      <c r="AO32" s="794"/>
      <c r="AP32" s="56"/>
      <c r="AQ32" s="56"/>
      <c r="AR32" s="794"/>
      <c r="AS32" s="56"/>
      <c r="AT32" s="56"/>
      <c r="AU32" s="794"/>
      <c r="AV32" s="56"/>
      <c r="AW32" s="56"/>
      <c r="AX32" s="794"/>
      <c r="AY32" s="56"/>
      <c r="AZ32" s="56"/>
      <c r="BB32" s="56"/>
      <c r="BC32" s="56"/>
      <c r="BE32" s="56"/>
      <c r="BF32" s="56"/>
      <c r="BG32" s="794"/>
      <c r="BH32" s="56"/>
      <c r="BI32" s="56"/>
      <c r="BJ32" s="794"/>
      <c r="BK32" s="56"/>
      <c r="BL32" s="56"/>
      <c r="BM32" s="794"/>
      <c r="BN32" s="56"/>
      <c r="BO32" s="56"/>
      <c r="BP32" s="794"/>
      <c r="BQ32" s="56"/>
      <c r="BR32" s="56"/>
      <c r="BS32" s="794"/>
    </row>
    <row r="33" spans="1:2" x14ac:dyDescent="0.2">
      <c r="A33" s="3" t="s">
        <v>180</v>
      </c>
      <c r="B33" s="3"/>
    </row>
    <row r="34" spans="1:2" x14ac:dyDescent="0.2">
      <c r="A34" s="3" t="s">
        <v>179</v>
      </c>
      <c r="B34" s="3"/>
    </row>
    <row r="35" spans="1:2" x14ac:dyDescent="0.2">
      <c r="A35" s="18" t="s">
        <v>160</v>
      </c>
      <c r="B35" s="18"/>
    </row>
    <row r="36" spans="1:2" x14ac:dyDescent="0.2">
      <c r="A36" s="18"/>
      <c r="B36" s="18"/>
    </row>
    <row r="37" spans="1:2" x14ac:dyDescent="0.2">
      <c r="A37" s="741" t="s">
        <v>1266</v>
      </c>
    </row>
  </sheetData>
  <mergeCells count="37">
    <mergeCell ref="AJ3:AK3"/>
    <mergeCell ref="R1:AK1"/>
    <mergeCell ref="R2:Z2"/>
    <mergeCell ref="AA2:AK2"/>
    <mergeCell ref="AV2:BC2"/>
    <mergeCell ref="AV3:AW3"/>
    <mergeCell ref="BB3:BC3"/>
    <mergeCell ref="U3:V3"/>
    <mergeCell ref="AA3:AB3"/>
    <mergeCell ref="AD3:AE3"/>
    <mergeCell ref="AG3:AH3"/>
    <mergeCell ref="X3:Y3"/>
    <mergeCell ref="AM3:AN3"/>
    <mergeCell ref="AP3:AQ3"/>
    <mergeCell ref="AS3:AT3"/>
    <mergeCell ref="AM1:BC1"/>
    <mergeCell ref="B3:D3"/>
    <mergeCell ref="N3:P3"/>
    <mergeCell ref="R5"/>
    <mergeCell ref="F3:H3"/>
    <mergeCell ref="J3:L3"/>
    <mergeCell ref="R3:S3"/>
    <mergeCell ref="R11"/>
    <mergeCell ref="C11"/>
    <mergeCell ref="F11"/>
    <mergeCell ref="J11"/>
    <mergeCell ref="J8"/>
    <mergeCell ref="AM2:AT2"/>
    <mergeCell ref="AY3:AZ3"/>
    <mergeCell ref="BE1:BR1"/>
    <mergeCell ref="BE2:BL2"/>
    <mergeCell ref="BN2:BR2"/>
    <mergeCell ref="BE3:BF3"/>
    <mergeCell ref="BH3:BI3"/>
    <mergeCell ref="BK3:BL3"/>
    <mergeCell ref="BN3:BO3"/>
    <mergeCell ref="BQ3:BR3"/>
  </mergeCells>
  <printOptions gridLines="1"/>
  <pageMargins left="0.7" right="0.7" top="0.75" bottom="0.7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39</vt:i4>
      </vt:variant>
    </vt:vector>
  </HeadingPairs>
  <TitlesOfParts>
    <vt:vector size="69" baseType="lpstr">
      <vt:lpstr>FY 20 UNMHS Presentation</vt:lpstr>
      <vt:lpstr>HS Combined MedePM Plan</vt:lpstr>
      <vt:lpstr>Dept Combined LEM</vt:lpstr>
      <vt:lpstr>Growth Metric by Entity_Dept</vt:lpstr>
      <vt:lpstr>Growth by Clinic Detail</vt:lpstr>
      <vt:lpstr>Growth wRVU's</vt:lpstr>
      <vt:lpstr>UH Surgery</vt:lpstr>
      <vt:lpstr>SRMC Surgery</vt:lpstr>
      <vt:lpstr>Qual_Saf Metric by Entity_Dept</vt:lpstr>
      <vt:lpstr>Service Metric by Entity_Dept</vt:lpstr>
      <vt:lpstr>People Metric by Entity_Dept</vt:lpstr>
      <vt:lpstr>Finance Metric by Entity_Dept</vt:lpstr>
      <vt:lpstr>Academic Metrics</vt:lpstr>
      <vt:lpstr>Anesthesiology</vt:lpstr>
      <vt:lpstr> Dental Medicine</vt:lpstr>
      <vt:lpstr>Dermatology</vt:lpstr>
      <vt:lpstr>Emergency Medicine</vt:lpstr>
      <vt:lpstr>Familty &amp; Comm Medicine</vt:lpstr>
      <vt:lpstr>Internal Medicine</vt:lpstr>
      <vt:lpstr>Neurology</vt:lpstr>
      <vt:lpstr>Neurosurgery</vt:lpstr>
      <vt:lpstr>Ob_Gyn</vt:lpstr>
      <vt:lpstr>Orthopaedics</vt:lpstr>
      <vt:lpstr>Pathology</vt:lpstr>
      <vt:lpstr>Pediatrics</vt:lpstr>
      <vt:lpstr>Psychiatry</vt:lpstr>
      <vt:lpstr>Radiology</vt:lpstr>
      <vt:lpstr>Surgery</vt:lpstr>
      <vt:lpstr>Cancer Center</vt:lpstr>
      <vt:lpstr>Chair_Dept Service Roll up</vt:lpstr>
      <vt:lpstr>'FY 20 UNMHS Presentation'!OLE_LINK2</vt:lpstr>
      <vt:lpstr>' Dental Medicine'!Print_Area</vt:lpstr>
      <vt:lpstr>'Academic Metrics'!Print_Area</vt:lpstr>
      <vt:lpstr>Anesthesiology!Print_Area</vt:lpstr>
      <vt:lpstr>'Cancer Center'!Print_Area</vt:lpstr>
      <vt:lpstr>'Dept Combined LEM'!Print_Area</vt:lpstr>
      <vt:lpstr>Dermatology!Print_Area</vt:lpstr>
      <vt:lpstr>'Emergency Medicine'!Print_Area</vt:lpstr>
      <vt:lpstr>'Familty &amp; Comm Medicine'!Print_Area</vt:lpstr>
      <vt:lpstr>'Finance Metric by Entity_Dept'!Print_Area</vt:lpstr>
      <vt:lpstr>'Growth by Clinic Detail'!Print_Area</vt:lpstr>
      <vt:lpstr>'Growth Metric by Entity_Dept'!Print_Area</vt:lpstr>
      <vt:lpstr>'Growth wRVU''s'!Print_Area</vt:lpstr>
      <vt:lpstr>'HS Combined MedePM Plan'!Print_Area</vt:lpstr>
      <vt:lpstr>'Internal Medicine'!Print_Area</vt:lpstr>
      <vt:lpstr>Neurology!Print_Area</vt:lpstr>
      <vt:lpstr>Neurosurgery!Print_Area</vt:lpstr>
      <vt:lpstr>Ob_Gyn!Print_Area</vt:lpstr>
      <vt:lpstr>Orthopaedics!Print_Area</vt:lpstr>
      <vt:lpstr>Pathology!Print_Area</vt:lpstr>
      <vt:lpstr>Pediatrics!Print_Area</vt:lpstr>
      <vt:lpstr>'People Metric by Entity_Dept'!Print_Area</vt:lpstr>
      <vt:lpstr>Psychiatry!Print_Area</vt:lpstr>
      <vt:lpstr>'Qual_Saf Metric by Entity_Dept'!Print_Area</vt:lpstr>
      <vt:lpstr>Radiology!Print_Area</vt:lpstr>
      <vt:lpstr>'Service Metric by Entity_Dept'!Print_Area</vt:lpstr>
      <vt:lpstr>'SRMC Surgery'!Print_Area</vt:lpstr>
      <vt:lpstr>Surgery!Print_Area</vt:lpstr>
      <vt:lpstr>'Academic Metrics'!Print_Titles</vt:lpstr>
      <vt:lpstr>'Dept Combined LEM'!Print_Titles</vt:lpstr>
      <vt:lpstr>'Finance Metric by Entity_Dept'!Print_Titles</vt:lpstr>
      <vt:lpstr>'FY 20 UNMHS Presentation'!Print_Titles</vt:lpstr>
      <vt:lpstr>'Growth by Clinic Detail'!Print_Titles</vt:lpstr>
      <vt:lpstr>'Growth Metric by Entity_Dept'!Print_Titles</vt:lpstr>
      <vt:lpstr>'Growth wRVU''s'!Print_Titles</vt:lpstr>
      <vt:lpstr>'HS Combined MedePM Plan'!Print_Titles</vt:lpstr>
      <vt:lpstr>'People Metric by Entity_Dept'!Print_Titles</vt:lpstr>
      <vt:lpstr>'Qual_Saf Metric by Entity_Dept'!Print_Titles</vt:lpstr>
      <vt:lpstr>'Service Metric by Entity_Dept'!Print_Titles</vt:lpstr>
    </vt:vector>
  </TitlesOfParts>
  <Company>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UNMHSC</dc:creator>
  <cp:lastModifiedBy>Zach J Johnson</cp:lastModifiedBy>
  <cp:lastPrinted>2019-10-21T21:31:08Z</cp:lastPrinted>
  <dcterms:created xsi:type="dcterms:W3CDTF">2006-09-22T19:50:05Z</dcterms:created>
  <dcterms:modified xsi:type="dcterms:W3CDTF">2020-07-06T17:14:05Z</dcterms:modified>
</cp:coreProperties>
</file>